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climatechangegovt.sharepoint.com/sites/ETSUnitPrice22/Shared Documents/2025 Advice/04. Report/Technical Annexes/"/>
    </mc:Choice>
  </mc:AlternateContent>
  <xr:revisionPtr revIDLastSave="0" documentId="8_{95ED85BC-A7AE-4A3D-B639-84008B33FC79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Version history" sheetId="28" r:id="rId1"/>
    <sheet name="Contents" sheetId="27" r:id="rId2"/>
    <sheet name="Current NZ ETS settings" sheetId="43" r:id="rId3"/>
    <sheet name="Main report tables &amp; graphs" sheetId="93" r:id="rId4"/>
    <sheet name="Tech annex 1 tables &amp; graphs" sheetId="57" r:id="rId5"/>
    <sheet name="1. Align with reduction targets" sheetId="58" r:id="rId6"/>
    <sheet name="2. NZ ETS cap" sheetId="10" r:id="rId7"/>
    <sheet name="4. Industrial free allocation" sheetId="21" r:id="rId8"/>
    <sheet name="5a. Total surplus estimate" sheetId="76" r:id="rId9"/>
    <sheet name="5a. Surplus reduction volumes" sheetId="81" r:id="rId10"/>
    <sheet name="5b. Discrepancy adjustment" sheetId="23" r:id="rId11"/>
    <sheet name="7. Calculate auction volumes" sheetId="42" r:id="rId12"/>
    <sheet name="Price control settings" sheetId="94" r:id="rId13"/>
    <sheet name="Technical adjustment review" sheetId="95" r:id="rId14"/>
    <sheet name="P90 units held long-term" sheetId="87" r:id="rId15"/>
    <sheet name="P89 units held for harvest" sheetId="82" r:id="rId16"/>
    <sheet name="P89 MERP4 additional surplus" sheetId="88" r:id="rId17"/>
    <sheet name="Hedging by emitters" sheetId="20" r:id="rId18"/>
    <sheet name="Total unit holdings" sheetId="41" r:id="rId19"/>
    <sheet name="ERP2 summary" sheetId="59" r:id="rId20"/>
    <sheet name="ETS vs. non-ETS forestry" sheetId="60" r:id="rId21"/>
    <sheet name="ERP2 New measures - detailed" sheetId="63" r:id="rId22"/>
    <sheet name="GWPs" sheetId="9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LX1.INC">#REF!</definedName>
    <definedName name="_DLX2.INC">#REF!</definedName>
    <definedName name="_DLX3.INC">#REF!</definedName>
    <definedName name="_Ref194413810" localSheetId="4">'Tech annex 1 tables &amp; graphs'!$A$158</definedName>
    <definedName name="_Ref194414300" localSheetId="4">'Tech annex 1 tables &amp; graphs'!$A$183</definedName>
    <definedName name="_Ref194415588" localSheetId="4">'Tech annex 1 tables &amp; graphs'!$A$256</definedName>
    <definedName name="_Ref194415667" localSheetId="4">'Tech annex 1 tables &amp; graphs'!$A$265</definedName>
    <definedName name="_Ref194415840" localSheetId="4">'Tech annex 1 tables &amp; graphs'!$A$343</definedName>
    <definedName name="_Ref195078740" localSheetId="4">'Tech annex 1 tables &amp; graphs'!$E$79</definedName>
    <definedName name="_Ref195262706" localSheetId="4">'Tech annex 1 tables &amp; graphs'!$A$333</definedName>
    <definedName name="_Ref195288734" localSheetId="4">'Tech annex 1 tables &amp; graphs'!$A$147</definedName>
    <definedName name="_Ref195289076" localSheetId="4">'Tech annex 1 tables &amp; graphs'!$A$310</definedName>
    <definedName name="_Ref195531235" localSheetId="4">'Tech annex 1 tables &amp; graphs'!$A$53</definedName>
    <definedName name="_Regression_Int" hidden="1">1</definedName>
    <definedName name="a" localSheetId="7" hidden="1">{"DSBT",#N/A,FALSE,"DSBT";"CASHPAY",#N/A,FALSE,"CASHPAY"}</definedName>
    <definedName name="a" localSheetId="9" hidden="1">{"DSBT",#N/A,FALSE,"DSBT";"CASHPAY",#N/A,FALSE,"CASHPAY"}</definedName>
    <definedName name="a" localSheetId="8" hidden="1">{"DSBT",#N/A,FALSE,"DSBT";"CASHPAY",#N/A,FALSE,"CASHPAY"}</definedName>
    <definedName name="a" localSheetId="10" hidden="1">{"DSBT",#N/A,FALSE,"DSBT";"CASHPAY",#N/A,FALSE,"CASHPAY"}</definedName>
    <definedName name="a" localSheetId="11" hidden="1">{"DSBT",#N/A,FALSE,"DSBT";"CASHPAY",#N/A,FALSE,"CASHPAY"}</definedName>
    <definedName name="a" localSheetId="2" hidden="1">{"DSBT",#N/A,FALSE,"DSBT";"CASHPAY",#N/A,FALSE,"CASHPAY"}</definedName>
    <definedName name="a" localSheetId="17" hidden="1">{"DSBT",#N/A,FALSE,"DSBT";"CASHPAY",#N/A,FALSE,"CASHPAY"}</definedName>
    <definedName name="a" localSheetId="15" hidden="1">{"DSBT",#N/A,FALSE,"DSBT";"CASHPAY",#N/A,FALSE,"CASHPAY"}</definedName>
    <definedName name="a" localSheetId="12" hidden="1">{"DSBT",#N/A,FALSE,"DSBT";"CASHPAY",#N/A,FALSE,"CASHPAY"}</definedName>
    <definedName name="a" hidden="1">{"DSBT",#N/A,FALSE,"DSBT";"CASHPAY",#N/A,FALSE,"CASHPAY"}</definedName>
    <definedName name="aa" localSheetId="7" hidden="1">{"DSBT",#N/A,FALSE,"DSBT";"CASHPAY",#N/A,FALSE,"CASHPAY"}</definedName>
    <definedName name="aa" localSheetId="9" hidden="1">{"DSBT",#N/A,FALSE,"DSBT";"CASHPAY",#N/A,FALSE,"CASHPAY"}</definedName>
    <definedName name="aa" localSheetId="8" hidden="1">{"DSBT",#N/A,FALSE,"DSBT";"CASHPAY",#N/A,FALSE,"CASHPAY"}</definedName>
    <definedName name="aa" localSheetId="10" hidden="1">{"DSBT",#N/A,FALSE,"DSBT";"CASHPAY",#N/A,FALSE,"CASHPAY"}</definedName>
    <definedName name="aa" localSheetId="11" hidden="1">{"DSBT",#N/A,FALSE,"DSBT";"CASHPAY",#N/A,FALSE,"CASHPAY"}</definedName>
    <definedName name="aa" localSheetId="2" hidden="1">{"DSBT",#N/A,FALSE,"DSBT";"CASHPAY",#N/A,FALSE,"CASHPAY"}</definedName>
    <definedName name="aa" localSheetId="17" hidden="1">{"DSBT",#N/A,FALSE,"DSBT";"CASHPAY",#N/A,FALSE,"CASHPAY"}</definedName>
    <definedName name="aa" localSheetId="15" hidden="1">{"DSBT",#N/A,FALSE,"DSBT";"CASHPAY",#N/A,FALSE,"CASHPAY"}</definedName>
    <definedName name="aa" localSheetId="12" hidden="1">{"DSBT",#N/A,FALSE,"DSBT";"CASHPAY",#N/A,FALSE,"CASHPAY"}</definedName>
    <definedName name="aa" hidden="1">{"DSBT",#N/A,FALSE,"DSBT";"CASHPAY",#N/A,FALSE,"CASHPAY"}</definedName>
    <definedName name="adsf" localSheetId="7" hidden="1">{"ESTIMATES",#N/A,FALSE,"CASH"}</definedName>
    <definedName name="adsf" localSheetId="9" hidden="1">{"ESTIMATES",#N/A,FALSE,"CASH"}</definedName>
    <definedName name="adsf" localSheetId="8" hidden="1">{"ESTIMATES",#N/A,FALSE,"CASH"}</definedName>
    <definedName name="adsf" localSheetId="10" hidden="1">{"ESTIMATES",#N/A,FALSE,"CASH"}</definedName>
    <definedName name="adsf" localSheetId="11" hidden="1">{"ESTIMATES",#N/A,FALSE,"CASH"}</definedName>
    <definedName name="adsf" localSheetId="2" hidden="1">{"ESTIMATES",#N/A,FALSE,"CASH"}</definedName>
    <definedName name="adsf" localSheetId="17" hidden="1">{"ESTIMATES",#N/A,FALSE,"CASH"}</definedName>
    <definedName name="adsf" localSheetId="15" hidden="1">{"ESTIMATES",#N/A,FALSE,"CASH"}</definedName>
    <definedName name="adsf" localSheetId="12" hidden="1">{"ESTIMATES",#N/A,FALSE,"CASH"}</definedName>
    <definedName name="adsf" hidden="1">{"ESTIMATES",#N/A,FALSE,"CASH"}</definedName>
    <definedName name="af" localSheetId="7" hidden="1">{"CASH BALANCING",#N/A,FALSE,"CASH";"CASH REPORT",#N/A,FALSE,"CASH"}</definedName>
    <definedName name="af" localSheetId="9" hidden="1">{"CASH BALANCING",#N/A,FALSE,"CASH";"CASH REPORT",#N/A,FALSE,"CASH"}</definedName>
    <definedName name="af" localSheetId="8" hidden="1">{"CASH BALANCING",#N/A,FALSE,"CASH";"CASH REPORT",#N/A,FALSE,"CASH"}</definedName>
    <definedName name="af" localSheetId="10" hidden="1">{"CASH BALANCING",#N/A,FALSE,"CASH";"CASH REPORT",#N/A,FALSE,"CASH"}</definedName>
    <definedName name="af" localSheetId="11" hidden="1">{"CASH BALANCING",#N/A,FALSE,"CASH";"CASH REPORT",#N/A,FALSE,"CASH"}</definedName>
    <definedName name="af" localSheetId="2" hidden="1">{"CASH BALANCING",#N/A,FALSE,"CASH";"CASH REPORT",#N/A,FALSE,"CASH"}</definedName>
    <definedName name="af" localSheetId="17" hidden="1">{"CASH BALANCING",#N/A,FALSE,"CASH";"CASH REPORT",#N/A,FALSE,"CASH"}</definedName>
    <definedName name="af" localSheetId="15" hidden="1">{"CASH BALANCING",#N/A,FALSE,"CASH";"CASH REPORT",#N/A,FALSE,"CASH"}</definedName>
    <definedName name="af" localSheetId="12" hidden="1">{"CASH BALANCING",#N/A,FALSE,"CASH";"CASH REPORT",#N/A,FALSE,"CASH"}</definedName>
    <definedName name="af" hidden="1">{"CASH BALANCING",#N/A,FALSE,"CASH";"CASH REPORT",#N/A,FALSE,"CASH"}</definedName>
    <definedName name="allCountries">[1]Sheet9!$O$4:$P$178</definedName>
    <definedName name="Annex_A">[2]Rcpt08!#REF!</definedName>
    <definedName name="Annex_B">[2]Rcpt08!#REF!</definedName>
    <definedName name="Annex_E">#REF!</definedName>
    <definedName name="Annex_F">#REF!</definedName>
    <definedName name="arearegisteredpercent_exotic">[3]Dashboard!$C$7</definedName>
    <definedName name="arearegisteredpercent_exoticpermanent">[4]Dashboard!$D$7</definedName>
    <definedName name="arearegisteredpercent_native">[3]Dashboard!$D$7</definedName>
    <definedName name="arearegisteredpercent_NF">[4]Dashboard!$E$7</definedName>
    <definedName name="Assumptions_Paper">'[5]Database Codes'!$A$8:$A$24</definedName>
    <definedName name="Average_Co2_DF">'[6]Input variables'!$G$11</definedName>
    <definedName name="Average_CO2_exhard">'[6]Input variables'!$I$11</definedName>
    <definedName name="Average_CO2_exsoft">'[6]Input variables'!$H$11</definedName>
    <definedName name="Average_CO2_native">'[6]Input variables'!$J$11</definedName>
    <definedName name="Average_Co2_pine">'[6]Input variables'!$C$11</definedName>
    <definedName name="average_deforest_age_df">'[6]Input variables'!$G$6</definedName>
    <definedName name="average_deforest_age_exhard">'[6]Input variables'!$I$6</definedName>
    <definedName name="average_deforest_age_exsoft">'[6]Input variables'!$H$6</definedName>
    <definedName name="Average_deforest_age_pine">'[6]Input variables'!$C$6</definedName>
    <definedName name="averageage_DF">#REF!</definedName>
    <definedName name="averageage_pine">#REF!</definedName>
    <definedName name="averageCO2_exhard">[4]Dashboard!$F$13</definedName>
    <definedName name="averageCO2_exsoft">[4]Dashboard!$E$13</definedName>
    <definedName name="averageCO2_native">[4]Dashboard!$G$13</definedName>
    <definedName name="banks_ED">#REF!</definedName>
    <definedName name="BioCH4_2017">#REF!</definedName>
    <definedName name="BioCH4_2030_target">#REF!</definedName>
    <definedName name="BioCH4_2050_target">#REF!</definedName>
    <definedName name="BioCH4Target">#REF!</definedName>
    <definedName name="Biomass_removed">'[6]Input variables'!$C$13</definedName>
    <definedName name="BkName">#REF!</definedName>
    <definedName name="borrowings">#REF!</definedName>
    <definedName name="Budget_2011_Categories">'[5]Database Codes'!$A$28:$A$35</definedName>
    <definedName name="Budget_2011_Funding_Source">'[5]Database Codes'!$A$39:$A$40</definedName>
    <definedName name="C_to_CO2_fac">'[6]Target accounting assumptions'!$E$4</definedName>
    <definedName name="Ccodes">[1]EER!$A$3:$B$74</definedName>
    <definedName name="CH4_GWP" localSheetId="12">'[7]Misc. variable inputs'!$C$2</definedName>
    <definedName name="CH4_GWP">GWPs!$B$2</definedName>
    <definedName name="CHF">'[8]note 19'!#REF!</definedName>
    <definedName name="Copyrange1">#REF!</definedName>
    <definedName name="Copyrange10">#REF!</definedName>
    <definedName name="Copyrange11">#REF!</definedName>
    <definedName name="Copyrange12">#REF!</definedName>
    <definedName name="Copyrange13">#REF!</definedName>
    <definedName name="Copyrange14">#REF!</definedName>
    <definedName name="Copyrange15">#REF!</definedName>
    <definedName name="Copyrange16">#REF!</definedName>
    <definedName name="Copyrange17">#REF!</definedName>
    <definedName name="Copyrange18">#REF!</definedName>
    <definedName name="Copyrange19">#REF!</definedName>
    <definedName name="Copyrange2">#REF!</definedName>
    <definedName name="Copyrange20">#REF!</definedName>
    <definedName name="Copyrange21">#REF!</definedName>
    <definedName name="Copyrange22">#REF!</definedName>
    <definedName name="Copyrange23">#REF!</definedName>
    <definedName name="Copyrange24">#REF!</definedName>
    <definedName name="Copyrange25">#REF!</definedName>
    <definedName name="Copyrange26">#REF!</definedName>
    <definedName name="Copyrange27">#REF!</definedName>
    <definedName name="Copyrange28">#REF!</definedName>
    <definedName name="Copyrange29">#REF!</definedName>
    <definedName name="Copyrange3">#REF!</definedName>
    <definedName name="Copyrange30">#REF!</definedName>
    <definedName name="Copyrange31">#REF!</definedName>
    <definedName name="Copyrange32">#REF!</definedName>
    <definedName name="Copyrange33">#REF!</definedName>
    <definedName name="Copyrange34">#REF!</definedName>
    <definedName name="Copyrange35">#REF!</definedName>
    <definedName name="Copyrange36">#REF!</definedName>
    <definedName name="Copyrange37">#REF!</definedName>
    <definedName name="Copyrange38">#REF!</definedName>
    <definedName name="Copyrange39">#REF!</definedName>
    <definedName name="Copyrange4">#REF!</definedName>
    <definedName name="Copyrange40">#REF!</definedName>
    <definedName name="Copyrange41">#REF!</definedName>
    <definedName name="Copyrange42">#REF!</definedName>
    <definedName name="Copyrange43">#REF!</definedName>
    <definedName name="Copyrange44">#REF!</definedName>
    <definedName name="Copyrange45">#REF!</definedName>
    <definedName name="Copyrange46">#REF!</definedName>
    <definedName name="Copyrange47">#REF!</definedName>
    <definedName name="Copyrange48">#REF!</definedName>
    <definedName name="Copyrange49">#REF!</definedName>
    <definedName name="Copyrange5">#REF!</definedName>
    <definedName name="Copyrange50">#REF!</definedName>
    <definedName name="Copyrange51">#REF!</definedName>
    <definedName name="Copyrange52">#REF!</definedName>
    <definedName name="Copyrange53">#REF!</definedName>
    <definedName name="Copyrange54">#REF!</definedName>
    <definedName name="Copyrange55">#REF!</definedName>
    <definedName name="Copyrange56">#REF!</definedName>
    <definedName name="Copyrange57">#REF!</definedName>
    <definedName name="Copyrange58">#REF!</definedName>
    <definedName name="Copyrange59">#REF!</definedName>
    <definedName name="Copyrange6">#REF!</definedName>
    <definedName name="Copyrange60">#REF!</definedName>
    <definedName name="Copyrange61">#REF!</definedName>
    <definedName name="Copyrange62">#REF!</definedName>
    <definedName name="Copyrange63">#REF!</definedName>
    <definedName name="Copyrange64">#REF!</definedName>
    <definedName name="Copyrange65">#REF!</definedName>
    <definedName name="Copyrange66">#REF!</definedName>
    <definedName name="Copyrange67">#REF!</definedName>
    <definedName name="Copyrange68">#REF!</definedName>
    <definedName name="Copyrange7">#REF!</definedName>
    <definedName name="Copyrange8">#REF!</definedName>
    <definedName name="Copyrange9">#REF!</definedName>
    <definedName name="corrmatrix">'[9]@RISK parameters'!#REF!</definedName>
    <definedName name="cos_last1">OFFSET([10]Graphing!$D$3,[10]Graphing!$E$21,0,[10]Graphing!$E$23,1)</definedName>
    <definedName name="cos_last2">OFFSET([10]Graphing!$E$3,[10]Graphing!$E$21,0,[10]Graphing!$E$23,1)</definedName>
    <definedName name="cos_now">OFFSET([10]Graphing!$C$3,[10]Graphing!$E$21,0,[10]Graphing!$E$23,1)</definedName>
    <definedName name="curr_ver">#REF!</definedName>
    <definedName name="d" localSheetId="7" hidden="1">{"CASH BALANCING",#N/A,FALSE,"CASH";"CASH REPORT",#N/A,FALSE,"CASH"}</definedName>
    <definedName name="d" localSheetId="9" hidden="1">{"CASH BALANCING",#N/A,FALSE,"CASH";"CASH REPORT",#N/A,FALSE,"CASH"}</definedName>
    <definedName name="d" localSheetId="8" hidden="1">{"CASH BALANCING",#N/A,FALSE,"CASH";"CASH REPORT",#N/A,FALSE,"CASH"}</definedName>
    <definedName name="d" localSheetId="10" hidden="1">{"CASH BALANCING",#N/A,FALSE,"CASH";"CASH REPORT",#N/A,FALSE,"CASH"}</definedName>
    <definedName name="d" localSheetId="11" hidden="1">{"CASH BALANCING",#N/A,FALSE,"CASH";"CASH REPORT",#N/A,FALSE,"CASH"}</definedName>
    <definedName name="d" localSheetId="2" hidden="1">{"CASH BALANCING",#N/A,FALSE,"CASH";"CASH REPORT",#N/A,FALSE,"CASH"}</definedName>
    <definedName name="d" localSheetId="17" hidden="1">{"CASH BALANCING",#N/A,FALSE,"CASH";"CASH REPORT",#N/A,FALSE,"CASH"}</definedName>
    <definedName name="D" localSheetId="15">{"CASH BALANCING",#N/A,FALSE,"CASH";"CASH REPORT",#N/A,FALSE,"CASH"}</definedName>
    <definedName name="d" localSheetId="12" hidden="1">{"CASH BALANCING",#N/A,FALSE,"CASH";"CASH REPORT",#N/A,FALSE,"CASH"}</definedName>
    <definedName name="D">{"CASH BALANCING",#N/A,FALSE,"CASH";"CASH REPORT",#N/A,FALSE,"CASH"}</definedName>
    <definedName name="data">[11]Data!#REF!</definedName>
    <definedName name="data_CAB">#REF!</definedName>
    <definedName name="data_compare">#REF!</definedName>
    <definedName name="data_ED">#REF!</definedName>
    <definedName name="data_FDCAB_hist">#REF!</definedName>
    <definedName name="data_FDCAB_hist_all">#REF!</definedName>
    <definedName name="data_FDCAB_new">#REF!</definedName>
    <definedName name="data_FDFI_hist">#REF!</definedName>
    <definedName name="data_FDFI_hist_all">#REF!</definedName>
    <definedName name="data_FDFI_new">#REF!</definedName>
    <definedName name="data_FI">#REF!</definedName>
    <definedName name="data_INPUT">#REF!</definedName>
    <definedName name="data_new_fiscaldata_cab">'[12]Fiscal Data - CAB New'!$A$61:$N$397</definedName>
    <definedName name="data_new_fiscaldata_FI">'[12]Fiscal Data - FI New'!$A$47:$N$400</definedName>
    <definedName name="data_SCEN">#REF!</definedName>
    <definedName name="data_shocks_scen">#REF!</definedName>
    <definedName name="data_TD">#REF!</definedName>
    <definedName name="data_TD_unused">#REF!</definedName>
    <definedName name="dates_CAB">#REF!</definedName>
    <definedName name="dates_compare_max" localSheetId="9">IF(#REF!="On",#REF!,#REF!)</definedName>
    <definedName name="dates_compare_max" localSheetId="8">IF(#REF!="On",#REF!,#REF!)</definedName>
    <definedName name="dates_compare_max" localSheetId="10">IF(#REF!="On",#REF!,#REF!)</definedName>
    <definedName name="dates_compare_max" localSheetId="11">IF(#REF!="On",#REF!,#REF!)</definedName>
    <definedName name="dates_compare_max" localSheetId="2">IF(#REF!="On",#REF!,#REF!)</definedName>
    <definedName name="dates_compare_max" localSheetId="17">IF(#REF!="On",#REF!,#REF!)</definedName>
    <definedName name="dates_compare_max" localSheetId="12">IF(#REF!="On",#REF!,#REF!)</definedName>
    <definedName name="dates_compare_max">IF(#REF!="On",#REF!,#REF!)</definedName>
    <definedName name="dates_compare_min" localSheetId="9">IF(#REF!="On",#REF!,#REF!)</definedName>
    <definedName name="dates_compare_min" localSheetId="8">IF(#REF!="On",#REF!,#REF!)</definedName>
    <definedName name="dates_compare_min" localSheetId="10">IF(#REF!="On",#REF!,#REF!)</definedName>
    <definedName name="dates_compare_min" localSheetId="11">IF(#REF!="On",#REF!,#REF!)</definedName>
    <definedName name="dates_compare_min" localSheetId="2">IF(#REF!="On",#REF!,#REF!)</definedName>
    <definedName name="dates_compare_min" localSheetId="17">IF(#REF!="On",#REF!,#REF!)</definedName>
    <definedName name="dates_compare_min" localSheetId="12">IF(#REF!="On",#REF!,#REF!)</definedName>
    <definedName name="dates_compare_min">IF(#REF!="On",#REF!,#REF!)</definedName>
    <definedName name="dates_ED">#REF!</definedName>
    <definedName name="dates_ED_max" localSheetId="9">IF(#REF!="On",#REF!,#REF!)</definedName>
    <definedName name="dates_ED_max" localSheetId="8">IF(#REF!="On",#REF!,#REF!)</definedName>
    <definedName name="dates_ED_max" localSheetId="10">IF(#REF!="On",#REF!,#REF!)</definedName>
    <definedName name="dates_ED_max" localSheetId="11">IF(#REF!="On",#REF!,#REF!)</definedName>
    <definedName name="dates_ED_max" localSheetId="2">IF(#REF!="On",#REF!,#REF!)</definedName>
    <definedName name="dates_ED_max" localSheetId="17">IF(#REF!="On",#REF!,#REF!)</definedName>
    <definedName name="dates_ED_max" localSheetId="12">IF(#REF!="On",#REF!,#REF!)</definedName>
    <definedName name="dates_ED_max">IF(#REF!="On",#REF!,#REF!)</definedName>
    <definedName name="dates_ED_min" localSheetId="9">IF(#REF!="On",#REF!,#REF!)</definedName>
    <definedName name="dates_ED_min" localSheetId="8">IF(#REF!="On",#REF!,#REF!)</definedName>
    <definedName name="dates_ED_min" localSheetId="10">IF(#REF!="On",#REF!,#REF!)</definedName>
    <definedName name="dates_ED_min" localSheetId="11">IF(#REF!="On",#REF!,#REF!)</definedName>
    <definedName name="dates_ED_min" localSheetId="2">IF(#REF!="On",#REF!,#REF!)</definedName>
    <definedName name="dates_ED_min" localSheetId="17">IF(#REF!="On",#REF!,#REF!)</definedName>
    <definedName name="dates_ED_min" localSheetId="12">IF(#REF!="On",#REF!,#REF!)</definedName>
    <definedName name="dates_ED_min">IF(#REF!="On",#REF!,#REF!)</definedName>
    <definedName name="dates_FDCAB">#REF!</definedName>
    <definedName name="dates_FDCAB_max" localSheetId="9">IF(#REF!="On",#REF!,#REF!)</definedName>
    <definedName name="dates_FDCAB_max" localSheetId="8">IF(#REF!="On",#REF!,#REF!)</definedName>
    <definedName name="dates_FDCAB_max" localSheetId="10">IF(#REF!="On",#REF!,#REF!)</definedName>
    <definedName name="dates_FDCAB_max" localSheetId="11">IF(#REF!="On",#REF!,#REF!)</definedName>
    <definedName name="dates_FDCAB_max" localSheetId="2">IF(#REF!="On",#REF!,#REF!)</definedName>
    <definedName name="dates_FDCAB_max" localSheetId="17">IF(#REF!="On",#REF!,#REF!)</definedName>
    <definedName name="dates_FDCAB_max" localSheetId="12">IF(#REF!="On",#REF!,#REF!)</definedName>
    <definedName name="dates_FDCAB_max">IF(#REF!="On",#REF!,#REF!)</definedName>
    <definedName name="dates_FDCAB_min" localSheetId="9">IF(#REF!="On",#REF!,#REF!)</definedName>
    <definedName name="dates_FDCAB_min" localSheetId="8">IF(#REF!="On",#REF!,#REF!)</definedName>
    <definedName name="dates_FDCAB_min" localSheetId="10">IF(#REF!="On",#REF!,#REF!)</definedName>
    <definedName name="dates_FDCAB_min" localSheetId="11">IF(#REF!="On",#REF!,#REF!)</definedName>
    <definedName name="dates_FDCAB_min" localSheetId="2">IF(#REF!="On",#REF!,#REF!)</definedName>
    <definedName name="dates_FDCAB_min" localSheetId="17">IF(#REF!="On",#REF!,#REF!)</definedName>
    <definedName name="dates_FDCAB_min" localSheetId="12">IF(#REF!="On",#REF!,#REF!)</definedName>
    <definedName name="dates_FDCAB_min">IF(#REF!="On",#REF!,#REF!)</definedName>
    <definedName name="dates_FDFI">#REF!</definedName>
    <definedName name="dates_FDFI_max" localSheetId="9">IF(#REF!="On",#REF!,#REF!)</definedName>
    <definedName name="dates_FDFI_max" localSheetId="8">IF(#REF!="On",#REF!,#REF!)</definedName>
    <definedName name="dates_FDFI_max" localSheetId="10">IF(#REF!="On",#REF!,#REF!)</definedName>
    <definedName name="dates_FDFI_max" localSheetId="11">IF(#REF!="On",#REF!,#REF!)</definedName>
    <definedName name="dates_FDFI_max" localSheetId="2">IF(#REF!="On",#REF!,#REF!)</definedName>
    <definedName name="dates_FDFI_max" localSheetId="17">IF(#REF!="On",#REF!,#REF!)</definedName>
    <definedName name="dates_FDFI_max" localSheetId="12">IF(#REF!="On",#REF!,#REF!)</definedName>
    <definedName name="dates_FDFI_max">IF(#REF!="On",#REF!,#REF!)</definedName>
    <definedName name="dates_FDFI_min" localSheetId="9">IF(#REF!="On",#REF!,#REF!)</definedName>
    <definedName name="dates_FDFI_min" localSheetId="8">IF(#REF!="On",#REF!,#REF!)</definedName>
    <definedName name="dates_FDFI_min" localSheetId="10">IF(#REF!="On",#REF!,#REF!)</definedName>
    <definedName name="dates_FDFI_min" localSheetId="11">IF(#REF!="On",#REF!,#REF!)</definedName>
    <definedName name="dates_FDFI_min" localSheetId="2">IF(#REF!="On",#REF!,#REF!)</definedName>
    <definedName name="dates_FDFI_min" localSheetId="17">IF(#REF!="On",#REF!,#REF!)</definedName>
    <definedName name="dates_FDFI_min" localSheetId="12">IF(#REF!="On",#REF!,#REF!)</definedName>
    <definedName name="dates_FDFI_min">IF(#REF!="On",#REF!,#REF!)</definedName>
    <definedName name="dates_FI">#REF!</definedName>
    <definedName name="dates_forecast_max">#REF!</definedName>
    <definedName name="dates_forecast_min">#REF!</definedName>
    <definedName name="dates_INPUT">[13]Inputs!$I$36:$CI$36</definedName>
    <definedName name="dates_master_max" localSheetId="9">IF(#REF!="On",#REF!,#REF!)</definedName>
    <definedName name="dates_master_max" localSheetId="8">IF(#REF!="On",#REF!,#REF!)</definedName>
    <definedName name="dates_master_max" localSheetId="10">IF(#REF!="On",#REF!,#REF!)</definedName>
    <definedName name="dates_master_max" localSheetId="11">IF(#REF!="On",#REF!,#REF!)</definedName>
    <definedName name="dates_master_max" localSheetId="2">IF(#REF!="On",#REF!,#REF!)</definedName>
    <definedName name="dates_master_max" localSheetId="17">IF(#REF!="On",#REF!,#REF!)</definedName>
    <definedName name="dates_master_max" localSheetId="12">IF(#REF!="On",#REF!,#REF!)</definedName>
    <definedName name="dates_master_max">IF(#REF!="On",#REF!,#REF!)</definedName>
    <definedName name="dates_master_min" localSheetId="9">IF(#REF!="On",#REF!,#REF!)</definedName>
    <definedName name="dates_master_min" localSheetId="8">IF(#REF!="On",#REF!,#REF!)</definedName>
    <definedName name="dates_master_min" localSheetId="10">IF(#REF!="On",#REF!,#REF!)</definedName>
    <definedName name="dates_master_min" localSheetId="11">IF(#REF!="On",#REF!,#REF!)</definedName>
    <definedName name="dates_master_min" localSheetId="2">IF(#REF!="On",#REF!,#REF!)</definedName>
    <definedName name="dates_master_min" localSheetId="17">IF(#REF!="On",#REF!,#REF!)</definedName>
    <definedName name="dates_master_min" localSheetId="12">IF(#REF!="On",#REF!,#REF!)</definedName>
    <definedName name="dates_master_min">IF(#REF!="On",#REF!,#REF!)</definedName>
    <definedName name="dates_results_max" localSheetId="9">IF(#REF!="On",#REF!,#REF!)</definedName>
    <definedName name="dates_results_max" localSheetId="8">IF(#REF!="On",#REF!,#REF!)</definedName>
    <definedName name="dates_results_max" localSheetId="10">IF(#REF!="On",#REF!,#REF!)</definedName>
    <definedName name="dates_results_max" localSheetId="11">IF(#REF!="On",#REF!,#REF!)</definedName>
    <definedName name="dates_results_max" localSheetId="2">IF(#REF!="On",#REF!,#REF!)</definedName>
    <definedName name="dates_results_max" localSheetId="17">IF(#REF!="On",#REF!,#REF!)</definedName>
    <definedName name="dates_results_max" localSheetId="12">IF(#REF!="On",#REF!,#REF!)</definedName>
    <definedName name="dates_results_max">IF(#REF!="On",#REF!,#REF!)</definedName>
    <definedName name="dates_results_min" localSheetId="9">IF(#REF!="On",#REF!,#REF!)</definedName>
    <definedName name="dates_results_min" localSheetId="8">IF(#REF!="On",#REF!,#REF!)</definedName>
    <definedName name="dates_results_min" localSheetId="10">IF(#REF!="On",#REF!,#REF!)</definedName>
    <definedName name="dates_results_min" localSheetId="11">IF(#REF!="On",#REF!,#REF!)</definedName>
    <definedName name="dates_results_min" localSheetId="2">IF(#REF!="On",#REF!,#REF!)</definedName>
    <definedName name="dates_results_min" localSheetId="17">IF(#REF!="On",#REF!,#REF!)</definedName>
    <definedName name="dates_results_min" localSheetId="12">IF(#REF!="On",#REF!,#REF!)</definedName>
    <definedName name="dates_results_min">IF(#REF!="On",#REF!,#REF!)</definedName>
    <definedName name="dates_SCEN">#REF!</definedName>
    <definedName name="dates_SCEN_max" localSheetId="9">IF(#REF!="On",#REF!,#REF!)</definedName>
    <definedName name="dates_SCEN_max" localSheetId="8">IF(#REF!="On",#REF!,#REF!)</definedName>
    <definedName name="dates_SCEN_max" localSheetId="10">IF(#REF!="On",#REF!,#REF!)</definedName>
    <definedName name="dates_SCEN_max" localSheetId="11">IF(#REF!="On",#REF!,#REF!)</definedName>
    <definedName name="dates_SCEN_max" localSheetId="2">IF(#REF!="On",#REF!,#REF!)</definedName>
    <definedName name="dates_SCEN_max" localSheetId="17">IF(#REF!="On",#REF!,#REF!)</definedName>
    <definedName name="dates_SCEN_max" localSheetId="12">IF(#REF!="On",#REF!,#REF!)</definedName>
    <definedName name="dates_SCEN_max">IF(#REF!="On",#REF!,#REF!)</definedName>
    <definedName name="dates_SCEN_min" localSheetId="9">IF(#REF!="On",#REF!,#REF!)</definedName>
    <definedName name="dates_SCEN_min" localSheetId="8">IF(#REF!="On",#REF!,#REF!)</definedName>
    <definedName name="dates_SCEN_min" localSheetId="10">IF(#REF!="On",#REF!,#REF!)</definedName>
    <definedName name="dates_SCEN_min" localSheetId="11">IF(#REF!="On",#REF!,#REF!)</definedName>
    <definedName name="dates_SCEN_min" localSheetId="2">IF(#REF!="On",#REF!,#REF!)</definedName>
    <definedName name="dates_SCEN_min" localSheetId="17">IF(#REF!="On",#REF!,#REF!)</definedName>
    <definedName name="dates_SCEN_min" localSheetId="12">IF(#REF!="On",#REF!,#REF!)</definedName>
    <definedName name="dates_SCEN_min">IF(#REF!="On",#REF!,#REF!)</definedName>
    <definedName name="dates_shocks_scen">#REF!</definedName>
    <definedName name="dates_TD">#REF!</definedName>
    <definedName name="dates_TD_max" localSheetId="9">IF(#REF!="On",#REF!,#REF!)</definedName>
    <definedName name="dates_TD_max" localSheetId="8">IF(#REF!="On",#REF!,#REF!)</definedName>
    <definedName name="dates_TD_max" localSheetId="10">IF(#REF!="On",#REF!,#REF!)</definedName>
    <definedName name="dates_TD_max" localSheetId="11">IF(#REF!="On",#REF!,#REF!)</definedName>
    <definedName name="dates_TD_max" localSheetId="2">IF(#REF!="On",#REF!,#REF!)</definedName>
    <definedName name="dates_TD_max" localSheetId="17">IF(#REF!="On",#REF!,#REF!)</definedName>
    <definedName name="dates_TD_max" localSheetId="12">IF(#REF!="On",#REF!,#REF!)</definedName>
    <definedName name="dates_TD_max">IF(#REF!="On",#REF!,#REF!)</definedName>
    <definedName name="dates_TD_min" localSheetId="9">IF(#REF!="On",#REF!,#REF!)</definedName>
    <definedName name="dates_TD_min" localSheetId="8">IF(#REF!="On",#REF!,#REF!)</definedName>
    <definedName name="dates_TD_min" localSheetId="10">IF(#REF!="On",#REF!,#REF!)</definedName>
    <definedName name="dates_TD_min" localSheetId="11">IF(#REF!="On",#REF!,#REF!)</definedName>
    <definedName name="dates_TD_min" localSheetId="2">IF(#REF!="On",#REF!,#REF!)</definedName>
    <definedName name="dates_TD_min" localSheetId="17">IF(#REF!="On",#REF!,#REF!)</definedName>
    <definedName name="dates_TD_min" localSheetId="12">IF(#REF!="On",#REF!,#REF!)</definedName>
    <definedName name="dates_TD_min">IF(#REF!="On",#REF!,#REF!)</definedName>
    <definedName name="dd" localSheetId="7" hidden="1">{"CASH BALANCING",#N/A,FALSE,"CASH";"CASH REPORT",#N/A,FALSE,"CASH"}</definedName>
    <definedName name="dd" localSheetId="9" hidden="1">{"CASH BALANCING",#N/A,FALSE,"CASH";"CASH REPORT",#N/A,FALSE,"CASH"}</definedName>
    <definedName name="dd" localSheetId="8" hidden="1">{"CASH BALANCING",#N/A,FALSE,"CASH";"CASH REPORT",#N/A,FALSE,"CASH"}</definedName>
    <definedName name="dd" localSheetId="10" hidden="1">{"CASH BALANCING",#N/A,FALSE,"CASH";"CASH REPORT",#N/A,FALSE,"CASH"}</definedName>
    <definedName name="dd" localSheetId="11" hidden="1">{"CASH BALANCING",#N/A,FALSE,"CASH";"CASH REPORT",#N/A,FALSE,"CASH"}</definedName>
    <definedName name="dd" localSheetId="2" hidden="1">{"CASH BALANCING",#N/A,FALSE,"CASH";"CASH REPORT",#N/A,FALSE,"CASH"}</definedName>
    <definedName name="dd" localSheetId="17" hidden="1">{"CASH BALANCING",#N/A,FALSE,"CASH";"CASH REPORT",#N/A,FALSE,"CASH"}</definedName>
    <definedName name="dd" localSheetId="15" hidden="1">{"CASH BALANCING",#N/A,FALSE,"CASH";"CASH REPORT",#N/A,FALSE,"CASH"}</definedName>
    <definedName name="dd" localSheetId="12" hidden="1">{"CASH BALANCING",#N/A,FALSE,"CASH";"CASH REPORT",#N/A,FALSE,"CASH"}</definedName>
    <definedName name="dd" hidden="1">{"CASH BALANCING",#N/A,FALSE,"CASH";"CASH REPORT",#N/A,FALSE,"CASH"}</definedName>
    <definedName name="de" localSheetId="7" hidden="1">{"CASH BALANCING",#N/A,FALSE,"CASH";"CASH REPORT",#N/A,FALSE,"CASH"}</definedName>
    <definedName name="de" localSheetId="9" hidden="1">{"CASH BALANCING",#N/A,FALSE,"CASH";"CASH REPORT",#N/A,FALSE,"CASH"}</definedName>
    <definedName name="de" localSheetId="8" hidden="1">{"CASH BALANCING",#N/A,FALSE,"CASH";"CASH REPORT",#N/A,FALSE,"CASH"}</definedName>
    <definedName name="de" localSheetId="10" hidden="1">{"CASH BALANCING",#N/A,FALSE,"CASH";"CASH REPORT",#N/A,FALSE,"CASH"}</definedName>
    <definedName name="de" localSheetId="11" hidden="1">{"CASH BALANCING",#N/A,FALSE,"CASH";"CASH REPORT",#N/A,FALSE,"CASH"}</definedName>
    <definedName name="de" localSheetId="2" hidden="1">{"CASH BALANCING",#N/A,FALSE,"CASH";"CASH REPORT",#N/A,FALSE,"CASH"}</definedName>
    <definedName name="de" localSheetId="17" hidden="1">{"CASH BALANCING",#N/A,FALSE,"CASH";"CASH REPORT",#N/A,FALSE,"CASH"}</definedName>
    <definedName name="de" localSheetId="15" hidden="1">{"CASH BALANCING",#N/A,FALSE,"CASH";"CASH REPORT",#N/A,FALSE,"CASH"}</definedName>
    <definedName name="de" localSheetId="12" hidden="1">{"CASH BALANCING",#N/A,FALSE,"CASH";"CASH REPORT",#N/A,FALSE,"CASH"}</definedName>
    <definedName name="de" hidden="1">{"CASH BALANCING",#N/A,FALSE,"CASH";"CASH REPORT",#N/A,FALSE,"CASH"}</definedName>
    <definedName name="Decision_Point">'[5]Database Codes'!#REF!</definedName>
    <definedName name="deflate">'[14]Other assets - normal'!$A$4</definedName>
    <definedName name="DEM">'[8]note 19'!#REF!</definedName>
    <definedName name="dfd" localSheetId="7" hidden="1">{"CASH BALANCING",#N/A,FALSE,"CASH";"CASH REPORT",#N/A,FALSE,"CASH"}</definedName>
    <definedName name="dfd" localSheetId="9" hidden="1">{"CASH BALANCING",#N/A,FALSE,"CASH";"CASH REPORT",#N/A,FALSE,"CASH"}</definedName>
    <definedName name="dfd" localSheetId="8" hidden="1">{"CASH BALANCING",#N/A,FALSE,"CASH";"CASH REPORT",#N/A,FALSE,"CASH"}</definedName>
    <definedName name="dfd" localSheetId="10" hidden="1">{"CASH BALANCING",#N/A,FALSE,"CASH";"CASH REPORT",#N/A,FALSE,"CASH"}</definedName>
    <definedName name="dfd" localSheetId="11" hidden="1">{"CASH BALANCING",#N/A,FALSE,"CASH";"CASH REPORT",#N/A,FALSE,"CASH"}</definedName>
    <definedName name="dfd" localSheetId="2" hidden="1">{"CASH BALANCING",#N/A,FALSE,"CASH";"CASH REPORT",#N/A,FALSE,"CASH"}</definedName>
    <definedName name="dfd" localSheetId="17" hidden="1">{"CASH BALANCING",#N/A,FALSE,"CASH";"CASH REPORT",#N/A,FALSE,"CASH"}</definedName>
    <definedName name="dfd" localSheetId="15" hidden="1">{"CASH BALANCING",#N/A,FALSE,"CASH";"CASH REPORT",#N/A,FALSE,"CASH"}</definedName>
    <definedName name="dfd" localSheetId="12" hidden="1">{"CASH BALANCING",#N/A,FALSE,"CASH";"CASH REPORT",#N/A,FALSE,"CASH"}</definedName>
    <definedName name="dfd" hidden="1">{"CASH BALANCING",#N/A,FALSE,"CASH";"CASH REPORT",#N/A,FALSE,"CASH"}</definedName>
    <definedName name="digits">#REF!</definedName>
    <definedName name="dir_core">#REF!</definedName>
    <definedName name="dir_econ">#REF!</definedName>
    <definedName name="dir_fcast_bank">#REF!</definedName>
    <definedName name="dir_fiscal">#REF!</definedName>
    <definedName name="dir_FRdata">#REF!</definedName>
    <definedName name="dir_rbnz_bank">#REF!</definedName>
    <definedName name="dir_tax">#REF!</definedName>
    <definedName name="dir_util">#REF!</definedName>
    <definedName name="DLX1.USE">[15]ChartData!#REF!</definedName>
    <definedName name="dsfza" localSheetId="7" hidden="1">{"DISPAG1",#N/A,FALSE,"DISBURSE";"DISPAG2",#N/A,FALSE,"DISBURSE";"ACTDIS",#N/A,FALSE,"DISBURSE";"ACTOUT",#N/A,FALSE,"DISBURSE";"TOTDIFF",#N/A,FALSE,"DISBURSE";"REVDIS",#N/A,FALSE,"DISBURSE"}</definedName>
    <definedName name="dsfza" localSheetId="9" hidden="1">{"DISPAG1",#N/A,FALSE,"DISBURSE";"DISPAG2",#N/A,FALSE,"DISBURSE";"ACTDIS",#N/A,FALSE,"DISBURSE";"ACTOUT",#N/A,FALSE,"DISBURSE";"TOTDIFF",#N/A,FALSE,"DISBURSE";"REVDIS",#N/A,FALSE,"DISBURSE"}</definedName>
    <definedName name="dsfza" localSheetId="8" hidden="1">{"DISPAG1",#N/A,FALSE,"DISBURSE";"DISPAG2",#N/A,FALSE,"DISBURSE";"ACTDIS",#N/A,FALSE,"DISBURSE";"ACTOUT",#N/A,FALSE,"DISBURSE";"TOTDIFF",#N/A,FALSE,"DISBURSE";"REVDIS",#N/A,FALSE,"DISBURSE"}</definedName>
    <definedName name="dsfza" localSheetId="10" hidden="1">{"DISPAG1",#N/A,FALSE,"DISBURSE";"DISPAG2",#N/A,FALSE,"DISBURSE";"ACTDIS",#N/A,FALSE,"DISBURSE";"ACTOUT",#N/A,FALSE,"DISBURSE";"TOTDIFF",#N/A,FALSE,"DISBURSE";"REVDIS",#N/A,FALSE,"DISBURSE"}</definedName>
    <definedName name="dsfza" localSheetId="11" hidden="1">{"DISPAG1",#N/A,FALSE,"DISBURSE";"DISPAG2",#N/A,FALSE,"DISBURSE";"ACTDIS",#N/A,FALSE,"DISBURSE";"ACTOUT",#N/A,FALSE,"DISBURSE";"TOTDIFF",#N/A,FALSE,"DISBURSE";"REVDIS",#N/A,FALSE,"DISBURSE"}</definedName>
    <definedName name="dsfza" localSheetId="2" hidden="1">{"DISPAG1",#N/A,FALSE,"DISBURSE";"DISPAG2",#N/A,FALSE,"DISBURSE";"ACTDIS",#N/A,FALSE,"DISBURSE";"ACTOUT",#N/A,FALSE,"DISBURSE";"TOTDIFF",#N/A,FALSE,"DISBURSE";"REVDIS",#N/A,FALSE,"DISBURSE"}</definedName>
    <definedName name="dsfza" localSheetId="17" hidden="1">{"DISPAG1",#N/A,FALSE,"DISBURSE";"DISPAG2",#N/A,FALSE,"DISBURSE";"ACTDIS",#N/A,FALSE,"DISBURSE";"ACTOUT",#N/A,FALSE,"DISBURSE";"TOTDIFF",#N/A,FALSE,"DISBURSE";"REVDIS",#N/A,FALSE,"DISBURSE"}</definedName>
    <definedName name="dsfza" localSheetId="15" hidden="1">{"DISPAG1",#N/A,FALSE,"DISBURSE";"DISPAG2",#N/A,FALSE,"DISBURSE";"ACTDIS",#N/A,FALSE,"DISBURSE";"ACTOUT",#N/A,FALSE,"DISBURSE";"TOTDIFF",#N/A,FALSE,"DISBURSE";"REVDIS",#N/A,FALSE,"DISBURSE"}</definedName>
    <definedName name="dsfza" localSheetId="12" hidden="1">{"DISPAG1",#N/A,FALSE,"DISBURSE";"DISPAG2",#N/A,FALSE,"DISBURSE";"ACTDIS",#N/A,FALSE,"DISBURSE";"ACTOUT",#N/A,FALSE,"DISBURSE";"TOTDIFF",#N/A,FALSE,"DISBURSE";"REVDIS",#N/A,FALSE,"DISBURSE"}</definedName>
    <definedName name="dsfza" hidden="1">{"DISPAG1",#N/A,FALSE,"DISBURSE";"DISPAG2",#N/A,FALSE,"DISBURSE";"ACTDIS",#N/A,FALSE,"DISBURSE";"ACTOUT",#N/A,FALSE,"DISBURSE";"TOTDIFF",#N/A,FALSE,"DISBURSE";"REVDIS",#N/A,FALSE,"DISBURSE"}</definedName>
    <definedName name="EBtargets">#REF!</definedName>
    <definedName name="EByears">#REF!</definedName>
    <definedName name="EERcpiCnty">[1]Sheet9!$B$3:$B$79</definedName>
    <definedName name="eerCPInew">[1]Sheet9!$K$3:$K$87</definedName>
    <definedName name="fcast_bank">#REF!</definedName>
    <definedName name="fd" localSheetId="7" hidden="1">{"DSBT",#N/A,FALSE,"DSBT";"CASHPAY",#N/A,FALSE,"CASHPAY"}</definedName>
    <definedName name="fd" localSheetId="9" hidden="1">{"DSBT",#N/A,FALSE,"DSBT";"CASHPAY",#N/A,FALSE,"CASHPAY"}</definedName>
    <definedName name="fd" localSheetId="8" hidden="1">{"DSBT",#N/A,FALSE,"DSBT";"CASHPAY",#N/A,FALSE,"CASHPAY"}</definedName>
    <definedName name="fd" localSheetId="10" hidden="1">{"DSBT",#N/A,FALSE,"DSBT";"CASHPAY",#N/A,FALSE,"CASHPAY"}</definedName>
    <definedName name="fd" localSheetId="11" hidden="1">{"DSBT",#N/A,FALSE,"DSBT";"CASHPAY",#N/A,FALSE,"CASHPAY"}</definedName>
    <definedName name="fd" localSheetId="2" hidden="1">{"DSBT",#N/A,FALSE,"DSBT";"CASHPAY",#N/A,FALSE,"CASHPAY"}</definedName>
    <definedName name="fd" localSheetId="17" hidden="1">{"DSBT",#N/A,FALSE,"DSBT";"CASHPAY",#N/A,FALSE,"CASHPAY"}</definedName>
    <definedName name="fd" localSheetId="15" hidden="1">{"DSBT",#N/A,FALSE,"DSBT";"CASHPAY",#N/A,FALSE,"CASHPAY"}</definedName>
    <definedName name="fd" localSheetId="12" hidden="1">{"DSBT",#N/A,FALSE,"DSBT";"CASHPAY",#N/A,FALSE,"CASHPAY"}</definedName>
    <definedName name="fd" hidden="1">{"DSBT",#N/A,FALSE,"DSBT";"CASHPAY",#N/A,FALSE,"CASHPAY"}</definedName>
    <definedName name="fdasfd" localSheetId="7" hidden="1">{"ESTIMATES",#N/A,FALSE,"CASH"}</definedName>
    <definedName name="fdasfd" localSheetId="9" hidden="1">{"ESTIMATES",#N/A,FALSE,"CASH"}</definedName>
    <definedName name="fdasfd" localSheetId="8" hidden="1">{"ESTIMATES",#N/A,FALSE,"CASH"}</definedName>
    <definedName name="fdasfd" localSheetId="10" hidden="1">{"ESTIMATES",#N/A,FALSE,"CASH"}</definedName>
    <definedName name="fdasfd" localSheetId="11" hidden="1">{"ESTIMATES",#N/A,FALSE,"CASH"}</definedName>
    <definedName name="fdasfd" localSheetId="2" hidden="1">{"ESTIMATES",#N/A,FALSE,"CASH"}</definedName>
    <definedName name="fdasfd" localSheetId="17" hidden="1">{"ESTIMATES",#N/A,FALSE,"CASH"}</definedName>
    <definedName name="fdasfd" localSheetId="15" hidden="1">{"ESTIMATES",#N/A,FALSE,"CASH"}</definedName>
    <definedName name="fdasfd" localSheetId="12" hidden="1">{"ESTIMATES",#N/A,FALSE,"CASH"}</definedName>
    <definedName name="fdasfd" hidden="1">{"ESTIMATES",#N/A,FALSE,"CASH"}</definedName>
    <definedName name="fdf" localSheetId="7" hidden="1">{"CASH BALANCING",#N/A,FALSE,"CASH";"CASH REPORT",#N/A,FALSE,"CASH"}</definedName>
    <definedName name="fdf" localSheetId="9" hidden="1">{"CASH BALANCING",#N/A,FALSE,"CASH";"CASH REPORT",#N/A,FALSE,"CASH"}</definedName>
    <definedName name="fdf" localSheetId="8" hidden="1">{"CASH BALANCING",#N/A,FALSE,"CASH";"CASH REPORT",#N/A,FALSE,"CASH"}</definedName>
    <definedName name="fdf" localSheetId="10" hidden="1">{"CASH BALANCING",#N/A,FALSE,"CASH";"CASH REPORT",#N/A,FALSE,"CASH"}</definedName>
    <definedName name="fdf" localSheetId="11" hidden="1">{"CASH BALANCING",#N/A,FALSE,"CASH";"CASH REPORT",#N/A,FALSE,"CASH"}</definedName>
    <definedName name="fdf" localSheetId="2" hidden="1">{"CASH BALANCING",#N/A,FALSE,"CASH";"CASH REPORT",#N/A,FALSE,"CASH"}</definedName>
    <definedName name="fdf" localSheetId="17" hidden="1">{"CASH BALANCING",#N/A,FALSE,"CASH";"CASH REPORT",#N/A,FALSE,"CASH"}</definedName>
    <definedName name="fdf" localSheetId="15" hidden="1">{"CASH BALANCING",#N/A,FALSE,"CASH";"CASH REPORT",#N/A,FALSE,"CASH"}</definedName>
    <definedName name="fdf" localSheetId="12" hidden="1">{"CASH BALANCING",#N/A,FALSE,"CASH";"CASH REPORT",#N/A,FALSE,"CASH"}</definedName>
    <definedName name="fdf" hidden="1">{"CASH BALANCING",#N/A,FALSE,"CASH";"CASH REPORT",#N/A,FALSE,"CASH"}</definedName>
    <definedName name="fed" localSheetId="7" hidden="1">{"DISPAG1",#N/A,FALSE,"DISBURSE";"DISPAG2",#N/A,FALSE,"DISBURSE";"ACTDIS",#N/A,FALSE,"DISBURSE";"ACTOUT",#N/A,FALSE,"DISBURSE";"TOTDIFF",#N/A,FALSE,"DISBURSE";"REVDIS",#N/A,FALSE,"DISBURSE"}</definedName>
    <definedName name="fed" localSheetId="9" hidden="1">{"DISPAG1",#N/A,FALSE,"DISBURSE";"DISPAG2",#N/A,FALSE,"DISBURSE";"ACTDIS",#N/A,FALSE,"DISBURSE";"ACTOUT",#N/A,FALSE,"DISBURSE";"TOTDIFF",#N/A,FALSE,"DISBURSE";"REVDIS",#N/A,FALSE,"DISBURSE"}</definedName>
    <definedName name="fed" localSheetId="8" hidden="1">{"DISPAG1",#N/A,FALSE,"DISBURSE";"DISPAG2",#N/A,FALSE,"DISBURSE";"ACTDIS",#N/A,FALSE,"DISBURSE";"ACTOUT",#N/A,FALSE,"DISBURSE";"TOTDIFF",#N/A,FALSE,"DISBURSE";"REVDIS",#N/A,FALSE,"DISBURSE"}</definedName>
    <definedName name="fed" localSheetId="10" hidden="1">{"DISPAG1",#N/A,FALSE,"DISBURSE";"DISPAG2",#N/A,FALSE,"DISBURSE";"ACTDIS",#N/A,FALSE,"DISBURSE";"ACTOUT",#N/A,FALSE,"DISBURSE";"TOTDIFF",#N/A,FALSE,"DISBURSE";"REVDIS",#N/A,FALSE,"DISBURSE"}</definedName>
    <definedName name="fed" localSheetId="11" hidden="1">{"DISPAG1",#N/A,FALSE,"DISBURSE";"DISPAG2",#N/A,FALSE,"DISBURSE";"ACTDIS",#N/A,FALSE,"DISBURSE";"ACTOUT",#N/A,FALSE,"DISBURSE";"TOTDIFF",#N/A,FALSE,"DISBURSE";"REVDIS",#N/A,FALSE,"DISBURSE"}</definedName>
    <definedName name="fed" localSheetId="2" hidden="1">{"DISPAG1",#N/A,FALSE,"DISBURSE";"DISPAG2",#N/A,FALSE,"DISBURSE";"ACTDIS",#N/A,FALSE,"DISBURSE";"ACTOUT",#N/A,FALSE,"DISBURSE";"TOTDIFF",#N/A,FALSE,"DISBURSE";"REVDIS",#N/A,FALSE,"DISBURSE"}</definedName>
    <definedName name="fed" localSheetId="17" hidden="1">{"DISPAG1",#N/A,FALSE,"DISBURSE";"DISPAG2",#N/A,FALSE,"DISBURSE";"ACTDIS",#N/A,FALSE,"DISBURSE";"ACTOUT",#N/A,FALSE,"DISBURSE";"TOTDIFF",#N/A,FALSE,"DISBURSE";"REVDIS",#N/A,FALSE,"DISBURSE"}</definedName>
    <definedName name="fed" localSheetId="15" hidden="1">{"DISPAG1",#N/A,FALSE,"DISBURSE";"DISPAG2",#N/A,FALSE,"DISBURSE";"ACTDIS",#N/A,FALSE,"DISBURSE";"ACTOUT",#N/A,FALSE,"DISBURSE";"TOTDIFF",#N/A,FALSE,"DISBURSE";"REVDIS",#N/A,FALSE,"DISBURSE"}</definedName>
    <definedName name="fed" localSheetId="12" hidden="1">{"DISPAG1",#N/A,FALSE,"DISBURSE";"DISPAG2",#N/A,FALSE,"DISBURSE";"ACTDIS",#N/A,FALSE,"DISBURSE";"ACTOUT",#N/A,FALSE,"DISBURSE";"TOTDIFF",#N/A,FALSE,"DISBURSE";"REVDIS",#N/A,FALSE,"DISBURSE"}</definedName>
    <definedName name="fed" hidden="1">{"DISPAG1",#N/A,FALSE,"DISBURSE";"DISPAG2",#N/A,FALSE,"DISBURSE";"ACTDIS",#N/A,FALSE,"DISBURSE";"ACTOUT",#N/A,FALSE,"DISBURSE";"TOTDIFF",#N/A,FALSE,"DISBURSE";"REVDIS",#N/A,FALSE,"DISBURSE"}</definedName>
    <definedName name="ff" localSheetId="7" hidden="1">{"CASH BALANCING",#N/A,FALSE,"CASH";"CASH REPORT",#N/A,FALSE,"CASH"}</definedName>
    <definedName name="ff" localSheetId="9" hidden="1">{"CASH BALANCING",#N/A,FALSE,"CASH";"CASH REPORT",#N/A,FALSE,"CASH"}</definedName>
    <definedName name="ff" localSheetId="8" hidden="1">{"CASH BALANCING",#N/A,FALSE,"CASH";"CASH REPORT",#N/A,FALSE,"CASH"}</definedName>
    <definedName name="ff" localSheetId="10" hidden="1">{"CASH BALANCING",#N/A,FALSE,"CASH";"CASH REPORT",#N/A,FALSE,"CASH"}</definedName>
    <definedName name="ff" localSheetId="11" hidden="1">{"CASH BALANCING",#N/A,FALSE,"CASH";"CASH REPORT",#N/A,FALSE,"CASH"}</definedName>
    <definedName name="ff" localSheetId="2" hidden="1">{"CASH BALANCING",#N/A,FALSE,"CASH";"CASH REPORT",#N/A,FALSE,"CASH"}</definedName>
    <definedName name="ff" localSheetId="17" hidden="1">{"CASH BALANCING",#N/A,FALSE,"CASH";"CASH REPORT",#N/A,FALSE,"CASH"}</definedName>
    <definedName name="ff" localSheetId="15" hidden="1">{"CASH BALANCING",#N/A,FALSE,"CASH";"CASH REPORT",#N/A,FALSE,"CASH"}</definedName>
    <definedName name="ff" localSheetId="12" hidden="1">{"CASH BALANCING",#N/A,FALSE,"CASH";"CASH REPORT",#N/A,FALSE,"CASH"}</definedName>
    <definedName name="ff" hidden="1">{"CASH BALANCING",#N/A,FALSE,"CASH";"CASH REPORT",#N/A,FALSE,"CASH"}</definedName>
    <definedName name="fnamecur">[2]Assumptions!$D$3</definedName>
    <definedName name="folder_calcs">#REF!</definedName>
    <definedName name="folder_pub">#REF!</definedName>
    <definedName name="fyrlast">[2]Assumptions!$E$5</definedName>
    <definedName name="g">#REF!</definedName>
    <definedName name="GBP">'[8]note 19'!#REF!</definedName>
    <definedName name="GOV">'[8]note 19'!#REF!</definedName>
    <definedName name="Gross_1990">'[16]emissions data'!$B$8</definedName>
    <definedName name="Gross_2005" localSheetId="9">'[17]emissions data'!$B$23</definedName>
    <definedName name="Gross_2005" localSheetId="8">'[17]emissions data'!$B$23</definedName>
    <definedName name="Gross_2005" localSheetId="10">'[17]emissions data'!$B$23</definedName>
    <definedName name="Gross_2005" localSheetId="11">'[17]emissions data'!$B$23</definedName>
    <definedName name="Gross_2005" localSheetId="2">'[17]emissions data'!$B$23</definedName>
    <definedName name="Gross_2005" localSheetId="17">'[17]emissions data'!$B$23</definedName>
    <definedName name="Gross_2005" localSheetId="12">'[17]emissions data'!$B$23</definedName>
    <definedName name="Gross_2005">'[17]emissions data'!$B$23</definedName>
    <definedName name="gsdfr">[2]Rcpt08!#REF!</definedName>
    <definedName name="GWP_CH4_AR4">#REF!</definedName>
    <definedName name="GWP_CH4_AR5">#REF!</definedName>
    <definedName name="GWP_CH4_AR5_conversion">#REF!</definedName>
    <definedName name="GWP_CH4_conversion">#REF!</definedName>
    <definedName name="GWP_Fgas_conversion">#REF!</definedName>
    <definedName name="GWP_N2O_AR4">#REF!</definedName>
    <definedName name="GWP_N2O_AR5">#REF!</definedName>
    <definedName name="GWP_N2O_AR5_conversion">#REF!</definedName>
    <definedName name="GWP_N2O_conversion">#REF!</definedName>
    <definedName name="GWP_NO2_AR5_conversion">#REF!</definedName>
    <definedName name="Harvestpercent_DF">'[6]Input variables'!$G$9</definedName>
    <definedName name="Harvestpercent_exhard">'[6]Input variables'!$I$9</definedName>
    <definedName name="Harvestpercent_Exsoft">'[6]Input variables'!$H$9</definedName>
    <definedName name="Harvestpercent_native">'[6]Input variables'!$J$9</definedName>
    <definedName name="Harvestpercent_pine">'[6]Input variables'!$C$9</definedName>
    <definedName name="harvestpercent_SC_exhard">[4]Dashboard!$F$14</definedName>
    <definedName name="harvestpercent_SC_exsoft">[4]Dashboard!$E$14</definedName>
    <definedName name="IADemopath">#REF!</definedName>
    <definedName name="id_ED">#REF!</definedName>
    <definedName name="index_CAB">#REF!</definedName>
    <definedName name="index_compare">#REF!</definedName>
    <definedName name="index_ED">#REF!</definedName>
    <definedName name="index_FDCAB">#REF!</definedName>
    <definedName name="index_FDFI">#REF!</definedName>
    <definedName name="index_FI">#REF!</definedName>
    <definedName name="index_INPUT">#REF!</definedName>
    <definedName name="index_SCEN">#REF!</definedName>
    <definedName name="index_shocks_scen">#REF!</definedName>
    <definedName name="index_TD">#REF!</definedName>
    <definedName name="inf">'[14]Bond v rental housing'!$B$6</definedName>
    <definedName name="init">'[14]Tax gap'!$B$3</definedName>
    <definedName name="int">#REF!</definedName>
    <definedName name="JPY">'[8]note 19'!#REF!</definedName>
    <definedName name="lambda">#REF!</definedName>
    <definedName name="lkl">#REF!</definedName>
    <definedName name="load_ED">#REF!</definedName>
    <definedName name="load_FD_fcast">#REF!</definedName>
    <definedName name="load_FD_hist">#REF!</definedName>
    <definedName name="load_TD">#REF!</definedName>
    <definedName name="LOCAL__MYSQL_DATE_FORMAT2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_MYSQL_DATE_FORMAT2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okups">[18]Display!$A$2:$B$18</definedName>
    <definedName name="lowriskClevel">[4]Dashboard!$C$3</definedName>
    <definedName name="lowriskClevel_percentofLTA">[4]Dashboard!$C$4</definedName>
    <definedName name="LTAcarbon_P89">'[6]Target accounting assumptions'!$E$20</definedName>
    <definedName name="meta_ED">#REF!</definedName>
    <definedName name="month">#REF!</definedName>
    <definedName name="N2o_GWP" localSheetId="12">'[7]Misc. variable inputs'!$C$3</definedName>
    <definedName name="N2o_GWP">GWPs!$B$3</definedName>
    <definedName name="Native_CO2_Lost_Regen">'[6]Target accounting assumptions'!$G$36</definedName>
    <definedName name="Native_CO2_Lost_Regen_Inc">'[6]Target accounting assumptions'!$H$36</definedName>
    <definedName name="Native_CO2_Lost_Tall">'[6]Target accounting assumptions'!$G$35</definedName>
    <definedName name="Native_CO2_Lost_Tall_Inc">'[6]Target accounting assumptions'!$H$35</definedName>
    <definedName name="nBR">'[14]Bond v rental housing'!$B$3</definedName>
    <definedName name="New_Fig1" localSheetId="7" hidden="1">{"CASH BALANCING",#N/A,FALSE,"CASH";"CASH REPORT",#N/A,FALSE,"CASH"}</definedName>
    <definedName name="New_Fig1" localSheetId="9" hidden="1">{"CASH BALANCING",#N/A,FALSE,"CASH";"CASH REPORT",#N/A,FALSE,"CASH"}</definedName>
    <definedName name="New_Fig1" localSheetId="8" hidden="1">{"CASH BALANCING",#N/A,FALSE,"CASH";"CASH REPORT",#N/A,FALSE,"CASH"}</definedName>
    <definedName name="New_Fig1" localSheetId="10" hidden="1">{"CASH BALANCING",#N/A,FALSE,"CASH";"CASH REPORT",#N/A,FALSE,"CASH"}</definedName>
    <definedName name="New_Fig1" localSheetId="11" hidden="1">{"CASH BALANCING",#N/A,FALSE,"CASH";"CASH REPORT",#N/A,FALSE,"CASH"}</definedName>
    <definedName name="New_Fig1" localSheetId="2" hidden="1">{"CASH BALANCING",#N/A,FALSE,"CASH";"CASH REPORT",#N/A,FALSE,"CASH"}</definedName>
    <definedName name="New_Fig1" localSheetId="17" hidden="1">{"CASH BALANCING",#N/A,FALSE,"CASH";"CASH REPORT",#N/A,FALSE,"CASH"}</definedName>
    <definedName name="New_Fig1" localSheetId="15" hidden="1">{"CASH BALANCING",#N/A,FALSE,"CASH";"CASH REPORT",#N/A,FALSE,"CASH"}</definedName>
    <definedName name="New_Fig1" localSheetId="12" hidden="1">{"CASH BALANCING",#N/A,FALSE,"CASH";"CASH REPORT",#N/A,FALSE,"CASH"}</definedName>
    <definedName name="New_Fig1" hidden="1">{"CASH BALANCING",#N/A,FALSE,"CASH";"CASH REPORT",#N/A,FALSE,"CASH"}</definedName>
    <definedName name="new_ver">#REF!</definedName>
    <definedName name="ninf">#REF!</definedName>
    <definedName name="nRC">'[14]Bond v rental housing'!$B$5</definedName>
    <definedName name="nRet">'[14]Tax gap'!$B$4</definedName>
    <definedName name="nRR">'[14]Bond v rental housing'!$B$4</definedName>
    <definedName name="NvsASD">"V1999-07-31"</definedName>
    <definedName name="NvsAutoDrillOk">"VN"</definedName>
    <definedName name="NvsElapsedTime">0.0000799768531578593</definedName>
    <definedName name="NvsEndTime">37831.507665162</definedName>
    <definedName name="NvsLayoutType">"M3"</definedName>
    <definedName name="NvsPanelEffdt">"V1999-07-27"</definedName>
    <definedName name="NvsPanelSetid">"VSHARE"</definedName>
    <definedName name="NvsReqBU">"VMEL01"</definedName>
    <definedName name="NvsReqBUOnly">"VY"</definedName>
    <definedName name="NvsTransLed">"VN"</definedName>
    <definedName name="NvsTreeASD">"V1999-07-31"</definedName>
    <definedName name="NvsValTbl.SCENARIO">"BD_SCENARIO_TBL"</definedName>
    <definedName name="oxidation">'[19]Other parameters'!$B$12</definedName>
    <definedName name="Pal_Workbook_GUID" hidden="1">"9AP16616LWPZUH5ABK5MW346"</definedName>
    <definedName name="PalisadeReportWorkbookCreatedBy">"AtRisk"</definedName>
    <definedName name="param_compare_db">#REF!</definedName>
    <definedName name="param_compare_fcastvers">#REF!</definedName>
    <definedName name="param_compare_numseries">#REF!</definedName>
    <definedName name="param_compare_startdate">#REF!</definedName>
    <definedName name="Pasterange1">#REF!</definedName>
    <definedName name="Pasterange10">#REF!</definedName>
    <definedName name="Pasterange11">#REF!</definedName>
    <definedName name="Pasterange12">#REF!</definedName>
    <definedName name="Pasterange13">#REF!</definedName>
    <definedName name="Pasterange14">#REF!</definedName>
    <definedName name="Pasterange15">#REF!</definedName>
    <definedName name="Pasterange16">#REF!</definedName>
    <definedName name="Pasterange17">#REF!</definedName>
    <definedName name="Pasterange18">#REF!</definedName>
    <definedName name="Pasterange19">#REF!</definedName>
    <definedName name="Pasterange2">#REF!</definedName>
    <definedName name="Pasterange20">#REF!</definedName>
    <definedName name="Pasterange21">#REF!</definedName>
    <definedName name="Pasterange22">#REF!</definedName>
    <definedName name="Pasterange23">#REF!</definedName>
    <definedName name="Pasterange24">#REF!</definedName>
    <definedName name="Pasterange25">#REF!</definedName>
    <definedName name="Pasterange26">#REF!</definedName>
    <definedName name="Pasterange27">#REF!</definedName>
    <definedName name="Pasterange28">#REF!</definedName>
    <definedName name="Pasterange29">#REF!</definedName>
    <definedName name="Pasterange3">#REF!</definedName>
    <definedName name="Pasterange30">#REF!</definedName>
    <definedName name="Pasterange31">#REF!</definedName>
    <definedName name="Pasterange32">#REF!</definedName>
    <definedName name="Pasterange33">#REF!</definedName>
    <definedName name="Pasterange34">#REF!</definedName>
    <definedName name="Pasterange35">#REF!</definedName>
    <definedName name="Pasterange36">#REF!</definedName>
    <definedName name="Pasterange37">#REF!</definedName>
    <definedName name="Pasterange38">#REF!</definedName>
    <definedName name="Pasterange39">#REF!</definedName>
    <definedName name="Pasterange4">#REF!</definedName>
    <definedName name="Pasterange40">#REF!</definedName>
    <definedName name="Pasterange41">#REF!</definedName>
    <definedName name="Pasterange42">#REF!</definedName>
    <definedName name="Pasterange43">#REF!</definedName>
    <definedName name="Pasterange44">#REF!</definedName>
    <definedName name="Pasterange45">#REF!</definedName>
    <definedName name="Pasterange46">#REF!</definedName>
    <definedName name="Pasterange47">#REF!</definedName>
    <definedName name="Pasterange48">#REF!</definedName>
    <definedName name="Pasterange49">#REF!</definedName>
    <definedName name="Pasterange5">#REF!</definedName>
    <definedName name="Pasterange50">#REF!</definedName>
    <definedName name="Pasterange51">#REF!</definedName>
    <definedName name="Pasterange52">#REF!</definedName>
    <definedName name="Pasterange53">#REF!</definedName>
    <definedName name="Pasterange54">#REF!</definedName>
    <definedName name="Pasterange55">#REF!</definedName>
    <definedName name="Pasterange56">#REF!</definedName>
    <definedName name="Pasterange57">#REF!</definedName>
    <definedName name="Pasterange58">#REF!</definedName>
    <definedName name="Pasterange59">#REF!</definedName>
    <definedName name="Pasterange6">#REF!</definedName>
    <definedName name="Pasterange60">#REF!</definedName>
    <definedName name="Pasterange61">#REF!</definedName>
    <definedName name="Pasterange62">#REF!</definedName>
    <definedName name="Pasterange63">#REF!</definedName>
    <definedName name="Pasterange64">#REF!</definedName>
    <definedName name="Pasterange65">#REF!</definedName>
    <definedName name="Pasterange66">#REF!</definedName>
    <definedName name="Pasterange67">#REF!</definedName>
    <definedName name="Pasterange68">#REF!</definedName>
    <definedName name="Pasterange7">#REF!</definedName>
    <definedName name="Pasterange8">#REF!</definedName>
    <definedName name="Pasterange9">#REF!</definedName>
    <definedName name="path_control">#REF!</definedName>
    <definedName name="path_eviewsdatapull">#REF!</definedName>
    <definedName name="path_pub">#REF!</definedName>
    <definedName name="PCS">'Price control settings'!$A$1</definedName>
    <definedName name="Percent_new_forest_registration">'[6]Input variables'!$C$18</definedName>
    <definedName name="Percentage_additional_safecarbon">'[6]Input variables'!$C$10</definedName>
    <definedName name="Percentage_deforest_df">'[6]Input variables'!$G$8</definedName>
    <definedName name="Percentage_deforest_exhard">'[6]Input variables'!$I$8</definedName>
    <definedName name="Percentage_deforest_exsoft">'[6]Input variables'!$H$8</definedName>
    <definedName name="Percentage_deforest_native">'[6]Input variables'!$J$8</definedName>
    <definedName name="Percentage_deforest_pine">'[6]Input variables'!$C$8</definedName>
    <definedName name="Percentage_permanent_df">'[6]Input variables'!$G$7</definedName>
    <definedName name="Percentage_permanent_exhard">'[6]Input variables'!$I$7</definedName>
    <definedName name="Percentage_permanent_exsoft">'[6]Input variables'!$H$7</definedName>
    <definedName name="Percentage_permanent_native">'[6]Input variables'!$J$7</definedName>
    <definedName name="Percentage_permanent_pine">'[6]Input variables'!$C$7</definedName>
    <definedName name="Percentofexotic_DF">'[6]P89 ETS Forest Registrations'!$AD$39</definedName>
    <definedName name="Percentofexotic_exhard">'[6]P89 ETS Forest Registrations'!$AF$39</definedName>
    <definedName name="Percentofexotic_exsoft">'[6]P89 ETS Forest Registrations'!$AE$39</definedName>
    <definedName name="Percentofexotic_pine">'[6]P89 ETS Forest Registrations'!$AC$39</definedName>
    <definedName name="pft_now">OFFSET([2]Graphing!$L$3,[2]Graphing!$E$25,0,[2]Graphing!$E$27,1)</definedName>
    <definedName name="Pine_rot_length_1_weight">'[6]Input variables'!$C$5</definedName>
    <definedName name="Pine_rot_length_2_weight">'[6]Input variables'!$D$5</definedName>
    <definedName name="Pine_rot_length_3_weight">'[6]Input variables'!$E$5</definedName>
    <definedName name="Pine_rot_length_4_weight">'[6]Input variables'!$F$5</definedName>
    <definedName name="Pine_rotation_length_1">'[6]Input variables'!$C$4</definedName>
    <definedName name="Pine_rotation_length_2">'[6]Input variables'!$D$4</definedName>
    <definedName name="Pine_rotation_length_3">'[6]Input variables'!$E$4</definedName>
    <definedName name="Pine_rotation_length_4">'[6]Input variables'!$F$4</definedName>
    <definedName name="Print_Area_MI">[20]Receipts!#REF!</definedName>
    <definedName name="propbiomassremoved_exhard">[4]Dashboard!$F$17</definedName>
    <definedName name="propbiomassremoved_exsoft">[4]Dashboard!$E$17</definedName>
    <definedName name="RBN">'[8]note 19'!#REF!</definedName>
    <definedName name="rbnz_bank">#REF!</definedName>
    <definedName name="rcc">#REF!</definedName>
    <definedName name="rec_last1">OFFSET([10]Graphing!$J$3,[10]Graphing!$E$21,0,[10]Graphing!$E$23,1)</definedName>
    <definedName name="rec_last2">OFFSET([10]Graphing!$K$3,[10]Graphing!$E$21,0,[10]Graphing!$E$23,1)</definedName>
    <definedName name="rec_now">OFFSET([10]Graphing!$I$3,[10]Graphing!$E$21,0,[10]Graphing!$E$23,1)</definedName>
    <definedName name="replantlag_exhard">'[6]Input variables'!$I$12</definedName>
    <definedName name="replantlag_exsoft">'[6]Input variables'!$H$12</definedName>
    <definedName name="rev_last1">OFFSET([10]Graphing!$G$3,[10]Graphing!$E$21,0,[10]Graphing!$E$23,1)</definedName>
    <definedName name="rev_last2">OFFSET([10]Graphing!$H$3,[10]Graphing!$E$21,0,[10]Graphing!$E$23,1)</definedName>
    <definedName name="rev_now">OFFSET([10]Graphing!$F$3,[10]Graphing!$E$21,0,[10]Graphing!$E$23,1)</definedName>
    <definedName name="RFRR">'[14]Nordic @ 17.5'!$O$184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" localSheetId="7" hidden="1">{"CASH BALANCING",#N/A,FALSE,"CASH";"CASH REPORT",#N/A,FALSE,"CASH"}</definedName>
    <definedName name="risks" localSheetId="9" hidden="1">{"CASH BALANCING",#N/A,FALSE,"CASH";"CASH REPORT",#N/A,FALSE,"CASH"}</definedName>
    <definedName name="risks" localSheetId="8" hidden="1">{"CASH BALANCING",#N/A,FALSE,"CASH";"CASH REPORT",#N/A,FALSE,"CASH"}</definedName>
    <definedName name="risks" localSheetId="10" hidden="1">{"CASH BALANCING",#N/A,FALSE,"CASH";"CASH REPORT",#N/A,FALSE,"CASH"}</definedName>
    <definedName name="risks" localSheetId="11" hidden="1">{"CASH BALANCING",#N/A,FALSE,"CASH";"CASH REPORT",#N/A,FALSE,"CASH"}</definedName>
    <definedName name="risks" localSheetId="2" hidden="1">{"CASH BALANCING",#N/A,FALSE,"CASH";"CASH REPORT",#N/A,FALSE,"CASH"}</definedName>
    <definedName name="risks" localSheetId="17" hidden="1">{"CASH BALANCING",#N/A,FALSE,"CASH";"CASH REPORT",#N/A,FALSE,"CASH"}</definedName>
    <definedName name="risks" localSheetId="15" hidden="1">{"CASH BALANCING",#N/A,FALSE,"CASH";"CASH REPORT",#N/A,FALSE,"CASH"}</definedName>
    <definedName name="risks" localSheetId="12" hidden="1">{"CASH BALANCING",#N/A,FALSE,"CASH";"CASH REPORT",#N/A,FALSE,"CASH"}</definedName>
    <definedName name="risks" hidden="1">{"CASH BALANCING",#N/A,FALSE,"CASH";"CASH REPORT",#N/A,FALSE,"CASH"}</definedName>
    <definedName name="risks2" localSheetId="7" hidden="1">{"CASH BALANCING",#N/A,FALSE,"CASH";"CASH REPORT",#N/A,FALSE,"CASH"}</definedName>
    <definedName name="risks2" localSheetId="9" hidden="1">{"CASH BALANCING",#N/A,FALSE,"CASH";"CASH REPORT",#N/A,FALSE,"CASH"}</definedName>
    <definedName name="risks2" localSheetId="8" hidden="1">{"CASH BALANCING",#N/A,FALSE,"CASH";"CASH REPORT",#N/A,FALSE,"CASH"}</definedName>
    <definedName name="risks2" localSheetId="10" hidden="1">{"CASH BALANCING",#N/A,FALSE,"CASH";"CASH REPORT",#N/A,FALSE,"CASH"}</definedName>
    <definedName name="risks2" localSheetId="11" hidden="1">{"CASH BALANCING",#N/A,FALSE,"CASH";"CASH REPORT",#N/A,FALSE,"CASH"}</definedName>
    <definedName name="risks2" localSheetId="2" hidden="1">{"CASH BALANCING",#N/A,FALSE,"CASH";"CASH REPORT",#N/A,FALSE,"CASH"}</definedName>
    <definedName name="risks2" localSheetId="17" hidden="1">{"CASH BALANCING",#N/A,FALSE,"CASH";"CASH REPORT",#N/A,FALSE,"CASH"}</definedName>
    <definedName name="risks2" localSheetId="15" hidden="1">{"CASH BALANCING",#N/A,FALSE,"CASH";"CASH REPORT",#N/A,FALSE,"CASH"}</definedName>
    <definedName name="risks2" localSheetId="12" hidden="1">{"CASH BALANCING",#N/A,FALSE,"CASH";"CASH REPORT",#N/A,FALSE,"CASH"}</definedName>
    <definedName name="risks2" hidden="1">{"CASH BALANCING",#N/A,FALSE,"CASH";"CASH REPORT",#N/A,FALSE,"CASH"}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tation_length_DF">'[6]Input variables'!$G$4</definedName>
    <definedName name="Rotation_length_exhard">'[6]Input variables'!$I$4</definedName>
    <definedName name="Rotation_length_exsoft">'[6]Input variables'!$H$4</definedName>
    <definedName name="Rotation_length_pine">'[6]Input variables'!#REF!</definedName>
    <definedName name="rotationlength_exhard">[4]Dashboard!$F$11</definedName>
    <definedName name="rotationlength_exsoft">[4]Dashboard!$E$11</definedName>
    <definedName name="rr">#REF!</definedName>
    <definedName name="s" localSheetId="7" hidden="1">{"CASH BALANCING",#N/A,FALSE,"CASH";"CASH REPORT",#N/A,FALSE,"CASH"}</definedName>
    <definedName name="s" localSheetId="9" hidden="1">{"CASH BALANCING",#N/A,FALSE,"CASH";"CASH REPORT",#N/A,FALSE,"CASH"}</definedName>
    <definedName name="s" localSheetId="8" hidden="1">{"CASH BALANCING",#N/A,FALSE,"CASH";"CASH REPORT",#N/A,FALSE,"CASH"}</definedName>
    <definedName name="s" localSheetId="10" hidden="1">{"CASH BALANCING",#N/A,FALSE,"CASH";"CASH REPORT",#N/A,FALSE,"CASH"}</definedName>
    <definedName name="s" localSheetId="11" hidden="1">{"CASH BALANCING",#N/A,FALSE,"CASH";"CASH REPORT",#N/A,FALSE,"CASH"}</definedName>
    <definedName name="s" localSheetId="2" hidden="1">{"CASH BALANCING",#N/A,FALSE,"CASH";"CASH REPORT",#N/A,FALSE,"CASH"}</definedName>
    <definedName name="s" localSheetId="17" hidden="1">{"CASH BALANCING",#N/A,FALSE,"CASH";"CASH REPORT",#N/A,FALSE,"CASH"}</definedName>
    <definedName name="s" localSheetId="15" hidden="1">{"CASH BALANCING",#N/A,FALSE,"CASH";"CASH REPORT",#N/A,FALSE,"CASH"}</definedName>
    <definedName name="s" localSheetId="12" hidden="1">{"CASH BALANCING",#N/A,FALSE,"CASH";"CASH REPORT",#N/A,FALSE,"CASH"}</definedName>
    <definedName name="s" hidden="1">{"CASH BALANCING",#N/A,FALSE,"CASH";"CASH REPORT",#N/A,FALSE,"CASH"}</definedName>
    <definedName name="Scale">1000</definedName>
    <definedName name="Scen_name">#REF!</definedName>
    <definedName name="Scenario_1">#REF!</definedName>
    <definedName name="Scenario_2">#REF!</definedName>
    <definedName name="Scenario_3">#REF!</definedName>
    <definedName name="scenario_select">#REF!</definedName>
    <definedName name="SF6_GWP" localSheetId="12">'[7]Misc. variable inputs'!$C$4</definedName>
    <definedName name="SF6_GWP">GWPs!$B$4</definedName>
    <definedName name="sheet_CAB">#REF!</definedName>
    <definedName name="sheet_FI">#REF!</definedName>
    <definedName name="sheet_INPUT">#REF!</definedName>
    <definedName name="sss">'[21]note 19'!#REF!</definedName>
    <definedName name="Standard_harvest_rotation_TA">'[6]Target accounting assumptions'!$E$19</definedName>
    <definedName name="start">'[14]Bond v rental housing'!$B$7</definedName>
    <definedName name="start_ED">#REF!</definedName>
    <definedName name="Std_Rotation">'[6]Target accounting assumptions'!$E$19</definedName>
    <definedName name="Summary">#REF!</definedName>
    <definedName name="switch_ED">#REF!</definedName>
    <definedName name="Table_5__Quarterly_transfer_rates_of_pre_1990_units_from_their_original_accounts__2017_2024">'Tech annex 1 tables &amp; graphs'!$A$147</definedName>
    <definedName name="tags_FDCAB_hist">#REF!</definedName>
    <definedName name="tags_FDCAB_new">#REF!</definedName>
    <definedName name="tags_FDFI_hist">#REF!</definedName>
    <definedName name="tags_FDFI_new">#REF!</definedName>
    <definedName name="tags_new_fiscaldata_CAB">'[12]Fiscal Data - CAB New'!$D$61:$D$405</definedName>
    <definedName name="tags_new_fiscaldata_FI">'[12]Fiscal Data - FI New'!$D$47:$D$400</definedName>
    <definedName name="tax_doc_num">#REF!</definedName>
    <definedName name="tax_doc_ver">#REF!</definedName>
    <definedName name="TBills">'[8]note 19'!#REF!</definedName>
    <definedName name="tC">3.666667</definedName>
    <definedName name="tdisc">'[14]40% saving'!$B$10</definedName>
    <definedName name="TEMPLATE">[2]Rcpt08!#REF!</definedName>
    <definedName name="TemplateB">[2]Rcpt08!#REF!</definedName>
    <definedName name="TemplateC">#REF!</definedName>
    <definedName name="tlow">#REF!</definedName>
    <definedName name="Tstats">[22]Tablz!$A$2:$B$31</definedName>
    <definedName name="ULCcty">[1]Sheet9!$E$3:$E$25</definedName>
    <definedName name="USD">'[8]note 19'!#REF!</definedName>
    <definedName name="VC" localSheetId="7" hidden="1">{"DSBT",#N/A,FALSE,"DSBT";"CASHPAY",#N/A,FALSE,"CASHPAY"}</definedName>
    <definedName name="VC" localSheetId="9" hidden="1">{"DSBT",#N/A,FALSE,"DSBT";"CASHPAY",#N/A,FALSE,"CASHPAY"}</definedName>
    <definedName name="VC" localSheetId="8" hidden="1">{"DSBT",#N/A,FALSE,"DSBT";"CASHPAY",#N/A,FALSE,"CASHPAY"}</definedName>
    <definedName name="VC" localSheetId="10" hidden="1">{"DSBT",#N/A,FALSE,"DSBT";"CASHPAY",#N/A,FALSE,"CASHPAY"}</definedName>
    <definedName name="VC" localSheetId="11" hidden="1">{"DSBT",#N/A,FALSE,"DSBT";"CASHPAY",#N/A,FALSE,"CASHPAY"}</definedName>
    <definedName name="VC" localSheetId="2" hidden="1">{"DSBT",#N/A,FALSE,"DSBT";"CASHPAY",#N/A,FALSE,"CASHPAY"}</definedName>
    <definedName name="VC" localSheetId="17" hidden="1">{"DSBT",#N/A,FALSE,"DSBT";"CASHPAY",#N/A,FALSE,"CASHPAY"}</definedName>
    <definedName name="VC" localSheetId="15" hidden="1">{"DSBT",#N/A,FALSE,"DSBT";"CASHPAY",#N/A,FALSE,"CASHPAY"}</definedName>
    <definedName name="VC" localSheetId="12" hidden="1">{"DSBT",#N/A,FALSE,"DSBT";"CASHPAY",#N/A,FALSE,"CASHPAY"}</definedName>
    <definedName name="VC" hidden="1">{"DSBT",#N/A,FALSE,"DSBT";"CASHPAY",#N/A,FALSE,"CASHPAY"}</definedName>
    <definedName name="wfwr" localSheetId="7" hidden="1">{"CASH BALANCING",#N/A,FALSE,"CASH";"CASH REPORT",#N/A,FALSE,"CASH"}</definedName>
    <definedName name="wfwr" localSheetId="9" hidden="1">{"CASH BALANCING",#N/A,FALSE,"CASH";"CASH REPORT",#N/A,FALSE,"CASH"}</definedName>
    <definedName name="wfwr" localSheetId="8" hidden="1">{"CASH BALANCING",#N/A,FALSE,"CASH";"CASH REPORT",#N/A,FALSE,"CASH"}</definedName>
    <definedName name="wfwr" localSheetId="10" hidden="1">{"CASH BALANCING",#N/A,FALSE,"CASH";"CASH REPORT",#N/A,FALSE,"CASH"}</definedName>
    <definedName name="wfwr" localSheetId="11" hidden="1">{"CASH BALANCING",#N/A,FALSE,"CASH";"CASH REPORT",#N/A,FALSE,"CASH"}</definedName>
    <definedName name="wfwr" localSheetId="2" hidden="1">{"CASH BALANCING",#N/A,FALSE,"CASH";"CASH REPORT",#N/A,FALSE,"CASH"}</definedName>
    <definedName name="wfwr" localSheetId="17" hidden="1">{"CASH BALANCING",#N/A,FALSE,"CASH";"CASH REPORT",#N/A,FALSE,"CASH"}</definedName>
    <definedName name="wfwr" localSheetId="15" hidden="1">{"CASH BALANCING",#N/A,FALSE,"CASH";"CASH REPORT",#N/A,FALSE,"CASH"}</definedName>
    <definedName name="wfwr" localSheetId="12" hidden="1">{"CASH BALANCING",#N/A,FALSE,"CASH";"CASH REPORT",#N/A,FALSE,"CASH"}</definedName>
    <definedName name="wfwr" hidden="1">{"CASH BALANCING",#N/A,FALSE,"CASH";"CASH REPORT",#N/A,FALSE,"CASH"}</definedName>
    <definedName name="wfwr2" localSheetId="7" hidden="1">{"CASH BALANCING",#N/A,FALSE,"CASH";"CASH REPORT",#N/A,FALSE,"CASH"}</definedName>
    <definedName name="wfwr2" localSheetId="9" hidden="1">{"CASH BALANCING",#N/A,FALSE,"CASH";"CASH REPORT",#N/A,FALSE,"CASH"}</definedName>
    <definedName name="wfwr2" localSheetId="8" hidden="1">{"CASH BALANCING",#N/A,FALSE,"CASH";"CASH REPORT",#N/A,FALSE,"CASH"}</definedName>
    <definedName name="wfwr2" localSheetId="10" hidden="1">{"CASH BALANCING",#N/A,FALSE,"CASH";"CASH REPORT",#N/A,FALSE,"CASH"}</definedName>
    <definedName name="wfwr2" localSheetId="11" hidden="1">{"CASH BALANCING",#N/A,FALSE,"CASH";"CASH REPORT",#N/A,FALSE,"CASH"}</definedName>
    <definedName name="wfwr2" localSheetId="2" hidden="1">{"CASH BALANCING",#N/A,FALSE,"CASH";"CASH REPORT",#N/A,FALSE,"CASH"}</definedName>
    <definedName name="wfwr2" localSheetId="17" hidden="1">{"CASH BALANCING",#N/A,FALSE,"CASH";"CASH REPORT",#N/A,FALSE,"CASH"}</definedName>
    <definedName name="wfwr2" localSheetId="15" hidden="1">{"CASH BALANCING",#N/A,FALSE,"CASH";"CASH REPORT",#N/A,FALSE,"CASH"}</definedName>
    <definedName name="wfwr2" localSheetId="12" hidden="1">{"CASH BALANCING",#N/A,FALSE,"CASH";"CASH REPORT",#N/A,FALSE,"CASH"}</definedName>
    <definedName name="wfwr2" hidden="1">{"CASH BALANCING",#N/A,FALSE,"CASH";"CASH REPORT",#N/A,FALSE,"CASH"}</definedName>
    <definedName name="wrn.CASH._.REPORT." localSheetId="7" hidden="1">{"CASH BALANCING",#N/A,FALSE,"CASH";"CASH REPORT",#N/A,FALSE,"CASH"}</definedName>
    <definedName name="wrn.CASH._.REPORT." localSheetId="9" hidden="1">{"CASH BALANCING",#N/A,FALSE,"CASH";"CASH REPORT",#N/A,FALSE,"CASH"}</definedName>
    <definedName name="wrn.CASH._.REPORT." localSheetId="8" hidden="1">{"CASH BALANCING",#N/A,FALSE,"CASH";"CASH REPORT",#N/A,FALSE,"CASH"}</definedName>
    <definedName name="wrn.CASH._.REPORT." localSheetId="10" hidden="1">{"CASH BALANCING",#N/A,FALSE,"CASH";"CASH REPORT",#N/A,FALSE,"CASH"}</definedName>
    <definedName name="wrn.CASH._.REPORT." localSheetId="11" hidden="1">{"CASH BALANCING",#N/A,FALSE,"CASH";"CASH REPORT",#N/A,FALSE,"CASH"}</definedName>
    <definedName name="wrn.CASH._.REPORT." localSheetId="2" hidden="1">{"CASH BALANCING",#N/A,FALSE,"CASH";"CASH REPORT",#N/A,FALSE,"CASH"}</definedName>
    <definedName name="wrn.CASH._.REPORT." localSheetId="17" hidden="1">{"CASH BALANCING",#N/A,FALSE,"CASH";"CASH REPORT",#N/A,FALSE,"CASH"}</definedName>
    <definedName name="wrn.CASH._.REPORT." localSheetId="15" hidden="1">{"CASH BALANCING",#N/A,FALSE,"CASH";"CASH REPORT",#N/A,FALSE,"CASH"}</definedName>
    <definedName name="wrn.CASH._.REPORT." localSheetId="12" hidden="1">{"CASH BALANCING",#N/A,FALSE,"CASH";"CASH REPORT",#N/A,FALSE,"CASH"}</definedName>
    <definedName name="wrn.CASH._.REPORT." hidden="1">{"CASH BALANCING",#N/A,FALSE,"CASH";"CASH REPORT",#N/A,FALSE,"CASH"}</definedName>
    <definedName name="wrn.CASH._.SCHEDULE." localSheetId="7" hidden="1">{"DSBT",#N/A,FALSE,"DSBT";"CASHPAY",#N/A,FALSE,"CASHPAY"}</definedName>
    <definedName name="wrn.CASH._.SCHEDULE." localSheetId="9" hidden="1">{"DSBT",#N/A,FALSE,"DSBT";"CASHPAY",#N/A,FALSE,"CASHPAY"}</definedName>
    <definedName name="wrn.CASH._.SCHEDULE." localSheetId="8" hidden="1">{"DSBT",#N/A,FALSE,"DSBT";"CASHPAY",#N/A,FALSE,"CASHPAY"}</definedName>
    <definedName name="wrn.CASH._.SCHEDULE." localSheetId="10" hidden="1">{"DSBT",#N/A,FALSE,"DSBT";"CASHPAY",#N/A,FALSE,"CASHPAY"}</definedName>
    <definedName name="wrn.CASH._.SCHEDULE." localSheetId="11" hidden="1">{"DSBT",#N/A,FALSE,"DSBT";"CASHPAY",#N/A,FALSE,"CASHPAY"}</definedName>
    <definedName name="wrn.CASH._.SCHEDULE." localSheetId="2" hidden="1">{"DSBT",#N/A,FALSE,"DSBT";"CASHPAY",#N/A,FALSE,"CASHPAY"}</definedName>
    <definedName name="wrn.CASH._.SCHEDULE." localSheetId="17" hidden="1">{"DSBT",#N/A,FALSE,"DSBT";"CASHPAY",#N/A,FALSE,"CASHPAY"}</definedName>
    <definedName name="wrn.CASH._.SCHEDULE." localSheetId="15" hidden="1">{"DSBT",#N/A,FALSE,"DSBT";"CASHPAY",#N/A,FALSE,"CASHPAY"}</definedName>
    <definedName name="wrn.CASH._.SCHEDULE." localSheetId="12" hidden="1">{"DSBT",#N/A,FALSE,"DSBT";"CASHPAY",#N/A,FALSE,"CASHPAY"}</definedName>
    <definedName name="wrn.CASH._.SCHEDULE." hidden="1">{"DSBT",#N/A,FALSE,"DSBT";"CASHPAY",#N/A,FALSE,"CASHPAY"}</definedName>
    <definedName name="wrn.CASHDR._.PORT." localSheetId="7" hidden="1">{"CASH BALANCING",#N/A,FALSE,"CASH";"CASH REPORT",#N/A,FALSE,"CASH"}</definedName>
    <definedName name="wrn.CASHDR._.PORT." localSheetId="9" hidden="1">{"CASH BALANCING",#N/A,FALSE,"CASH";"CASH REPORT",#N/A,FALSE,"CASH"}</definedName>
    <definedName name="wrn.CASHDR._.PORT." localSheetId="8" hidden="1">{"CASH BALANCING",#N/A,FALSE,"CASH";"CASH REPORT",#N/A,FALSE,"CASH"}</definedName>
    <definedName name="wrn.CASHDR._.PORT." localSheetId="10" hidden="1">{"CASH BALANCING",#N/A,FALSE,"CASH";"CASH REPORT",#N/A,FALSE,"CASH"}</definedName>
    <definedName name="wrn.CASHDR._.PORT." localSheetId="11" hidden="1">{"CASH BALANCING",#N/A,FALSE,"CASH";"CASH REPORT",#N/A,FALSE,"CASH"}</definedName>
    <definedName name="wrn.CASHDR._.PORT." localSheetId="2" hidden="1">{"CASH BALANCING",#N/A,FALSE,"CASH";"CASH REPORT",#N/A,FALSE,"CASH"}</definedName>
    <definedName name="wrn.CASHDR._.PORT." localSheetId="17" hidden="1">{"CASH BALANCING",#N/A,FALSE,"CASH";"CASH REPORT",#N/A,FALSE,"CASH"}</definedName>
    <definedName name="wrn.CASHDR._.PORT." localSheetId="15" hidden="1">{"CASH BALANCING",#N/A,FALSE,"CASH";"CASH REPORT",#N/A,FALSE,"CASH"}</definedName>
    <definedName name="wrn.CASHDR._.PORT." localSheetId="12" hidden="1">{"CASH BALANCING",#N/A,FALSE,"CASH";"CASH REPORT",#N/A,FALSE,"CASH"}</definedName>
    <definedName name="wrn.CASHDR._.PORT." hidden="1">{"CASH BALANCING",#N/A,FALSE,"CASH";"CASH REPORT",#N/A,FALSE,"CASH"}</definedName>
    <definedName name="wrn.DISBURSE." localSheetId="7" hidden="1">{"DISPAG1",#N/A,FALSE,"DISBURSE";"DISPAG2",#N/A,FALSE,"DISBURSE";"ACTDIS",#N/A,FALSE,"DISBURSE";"ACTOUT",#N/A,FALSE,"DISBURSE";"TOTDIFF",#N/A,FALSE,"DISBURSE";"REVDIS",#N/A,FALSE,"DISBURSE"}</definedName>
    <definedName name="wrn.DISBURSE." localSheetId="9" hidden="1">{"DISPAG1",#N/A,FALSE,"DISBURSE";"DISPAG2",#N/A,FALSE,"DISBURSE";"ACTDIS",#N/A,FALSE,"DISBURSE";"ACTOUT",#N/A,FALSE,"DISBURSE";"TOTDIFF",#N/A,FALSE,"DISBURSE";"REVDIS",#N/A,FALSE,"DISBURSE"}</definedName>
    <definedName name="wrn.DISBURSE." localSheetId="8" hidden="1">{"DISPAG1",#N/A,FALSE,"DISBURSE";"DISPAG2",#N/A,FALSE,"DISBURSE";"ACTDIS",#N/A,FALSE,"DISBURSE";"ACTOUT",#N/A,FALSE,"DISBURSE";"TOTDIFF",#N/A,FALSE,"DISBURSE";"REVDIS",#N/A,FALSE,"DISBURSE"}</definedName>
    <definedName name="wrn.DISBURSE." localSheetId="10" hidden="1">{"DISPAG1",#N/A,FALSE,"DISBURSE";"DISPAG2",#N/A,FALSE,"DISBURSE";"ACTDIS",#N/A,FALSE,"DISBURSE";"ACTOUT",#N/A,FALSE,"DISBURSE";"TOTDIFF",#N/A,FALSE,"DISBURSE";"REVDIS",#N/A,FALSE,"DISBURSE"}</definedName>
    <definedName name="wrn.DISBURSE." localSheetId="11" hidden="1">{"DISPAG1",#N/A,FALSE,"DISBURSE";"DISPAG2",#N/A,FALSE,"DISBURSE";"ACTDIS",#N/A,FALSE,"DISBURSE";"ACTOUT",#N/A,FALSE,"DISBURSE";"TOTDIFF",#N/A,FALSE,"DISBURSE";"REVDIS",#N/A,FALSE,"DISBURSE"}</definedName>
    <definedName name="wrn.DISBURSE." localSheetId="2" hidden="1">{"DISPAG1",#N/A,FALSE,"DISBURSE";"DISPAG2",#N/A,FALSE,"DISBURSE";"ACTDIS",#N/A,FALSE,"DISBURSE";"ACTOUT",#N/A,FALSE,"DISBURSE";"TOTDIFF",#N/A,FALSE,"DISBURSE";"REVDIS",#N/A,FALSE,"DISBURSE"}</definedName>
    <definedName name="wrn.DISBURSE." localSheetId="17" hidden="1">{"DISPAG1",#N/A,FALSE,"DISBURSE";"DISPAG2",#N/A,FALSE,"DISBURSE";"ACTDIS",#N/A,FALSE,"DISBURSE";"ACTOUT",#N/A,FALSE,"DISBURSE";"TOTDIFF",#N/A,FALSE,"DISBURSE";"REVDIS",#N/A,FALSE,"DISBURSE"}</definedName>
    <definedName name="wrn.DISBURSE." localSheetId="15" hidden="1">{"DISPAG1",#N/A,FALSE,"DISBURSE";"DISPAG2",#N/A,FALSE,"DISBURSE";"ACTDIS",#N/A,FALSE,"DISBURSE";"ACTOUT",#N/A,FALSE,"DISBURSE";"TOTDIFF",#N/A,FALSE,"DISBURSE";"REVDIS",#N/A,FALSE,"DISBURSE"}</definedName>
    <definedName name="wrn.DISBURSE." localSheetId="12" hidden="1">{"DISPAG1",#N/A,FALSE,"DISBURSE";"DISPAG2",#N/A,FALSE,"DISBURSE";"ACTDIS",#N/A,FALSE,"DISBURSE";"ACTOUT",#N/A,FALSE,"DISBURSE";"TOTDIFF",#N/A,FALSE,"DISBURSE";"REVDIS",#N/A,FALSE,"DISBURSE"}</definedName>
    <definedName name="wrn.DISBURSE." hidden="1">{"DISPAG1",#N/A,FALSE,"DISBURSE";"DISPAG2",#N/A,FALSE,"DISBURSE";"ACTDIS",#N/A,FALSE,"DISBURSE";"ACTOUT",#N/A,FALSE,"DISBURSE";"TOTDIFF",#N/A,FALSE,"DISBURSE";"REVDIS",#N/A,FALSE,"DISBURSE"}</definedName>
    <definedName name="wrn.FMRB." localSheetId="7" hidden="1">{"ESTIMATES",#N/A,FALSE,"CASH"}</definedName>
    <definedName name="wrn.FMRB." localSheetId="9" hidden="1">{"ESTIMATES",#N/A,FALSE,"CASH"}</definedName>
    <definedName name="wrn.FMRB." localSheetId="8" hidden="1">{"ESTIMATES",#N/A,FALSE,"CASH"}</definedName>
    <definedName name="wrn.FMRB." localSheetId="10" hidden="1">{"ESTIMATES",#N/A,FALSE,"CASH"}</definedName>
    <definedName name="wrn.FMRB." localSheetId="11" hidden="1">{"ESTIMATES",#N/A,FALSE,"CASH"}</definedName>
    <definedName name="wrn.FMRB." localSheetId="2" hidden="1">{"ESTIMATES",#N/A,FALSE,"CASH"}</definedName>
    <definedName name="wrn.FMRB." localSheetId="17" hidden="1">{"ESTIMATES",#N/A,FALSE,"CASH"}</definedName>
    <definedName name="wrn.FMRB." localSheetId="15" hidden="1">{"ESTIMATES",#N/A,FALSE,"CASH"}</definedName>
    <definedName name="wrn.FMRB." localSheetId="12" hidden="1">{"ESTIMATES",#N/A,FALSE,"CASH"}</definedName>
    <definedName name="wrn.FMRB." hidden="1">{"ESTIMATES",#N/A,FALSE,"CASH"}</definedName>
    <definedName name="x">#REF!</definedName>
    <definedName name="x_axis">OFFSET([10]Graphing!$B$3,[10]Graphing!$E$21,0,[10]Graphing!$E$23,1)</definedName>
    <definedName name="XEU">'[8]note 19'!#REF!</definedName>
    <definedName name="XXX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6" l="1"/>
  <c r="E372" i="57"/>
  <c r="F372" i="57"/>
  <c r="D372" i="57"/>
  <c r="D374" i="57"/>
  <c r="E374" i="57"/>
  <c r="F374" i="57"/>
  <c r="D376" i="57"/>
  <c r="E376" i="57"/>
  <c r="F376" i="57"/>
  <c r="E373" i="57"/>
  <c r="F373" i="57"/>
  <c r="D373" i="57"/>
  <c r="C372" i="57"/>
  <c r="B372" i="57"/>
  <c r="C371" i="57"/>
  <c r="D371" i="57"/>
  <c r="E371" i="57"/>
  <c r="F371" i="57"/>
  <c r="C373" i="57"/>
  <c r="C374" i="57"/>
  <c r="C375" i="57"/>
  <c r="C376" i="57"/>
  <c r="C377" i="57"/>
  <c r="D377" i="57"/>
  <c r="E377" i="57"/>
  <c r="F377" i="57"/>
  <c r="C378" i="57"/>
  <c r="C379" i="57"/>
  <c r="B379" i="57"/>
  <c r="B378" i="57"/>
  <c r="A373" i="57"/>
  <c r="A374" i="57"/>
  <c r="A375" i="57"/>
  <c r="A376" i="57"/>
  <c r="A377" i="57"/>
  <c r="A378" i="57"/>
  <c r="A379" i="57"/>
  <c r="A371" i="57"/>
  <c r="B373" i="57"/>
  <c r="B374" i="57"/>
  <c r="B375" i="57"/>
  <c r="B376" i="57"/>
  <c r="B377" i="57"/>
  <c r="B371" i="57"/>
  <c r="G129" i="93"/>
  <c r="G130" i="93"/>
  <c r="G131" i="93"/>
  <c r="G132" i="93"/>
  <c r="G134" i="93"/>
  <c r="G135" i="93"/>
  <c r="G128" i="93"/>
  <c r="F240" i="57" l="1"/>
  <c r="G240" i="57"/>
  <c r="F241" i="57"/>
  <c r="G241" i="57"/>
  <c r="B149" i="57" l="1"/>
  <c r="A150" i="57"/>
  <c r="A151" i="57" s="1"/>
  <c r="A152" i="57" s="1"/>
  <c r="A153" i="57" s="1"/>
  <c r="A154" i="57" s="1"/>
  <c r="A155" i="57" s="1"/>
  <c r="A156" i="57" s="1"/>
  <c r="B150" i="57"/>
  <c r="B151" i="57"/>
  <c r="B152" i="57"/>
  <c r="B153" i="57"/>
  <c r="B154" i="57"/>
  <c r="B155" i="57"/>
  <c r="B156" i="57"/>
  <c r="D62" i="95"/>
  <c r="E62" i="95"/>
  <c r="F62" i="95"/>
  <c r="G62" i="95"/>
  <c r="H62" i="95"/>
  <c r="I62" i="95"/>
  <c r="J62" i="95"/>
  <c r="K62" i="95"/>
  <c r="L62" i="95"/>
  <c r="M62" i="95"/>
  <c r="N62" i="95"/>
  <c r="O62" i="95"/>
  <c r="C62" i="95"/>
  <c r="D61" i="95"/>
  <c r="E61" i="95"/>
  <c r="F61" i="95"/>
  <c r="G61" i="95"/>
  <c r="H61" i="95"/>
  <c r="I61" i="95"/>
  <c r="J61" i="95"/>
  <c r="K61" i="95"/>
  <c r="L61" i="95"/>
  <c r="M61" i="95"/>
  <c r="N61" i="95"/>
  <c r="O61" i="95"/>
  <c r="C61" i="95"/>
  <c r="D57" i="95"/>
  <c r="E57" i="95"/>
  <c r="F57" i="95"/>
  <c r="G57" i="95"/>
  <c r="H57" i="95"/>
  <c r="I57" i="95"/>
  <c r="J57" i="95"/>
  <c r="K57" i="95"/>
  <c r="L57" i="95"/>
  <c r="M57" i="95"/>
  <c r="N57" i="95"/>
  <c r="O57" i="95"/>
  <c r="C57" i="95"/>
  <c r="D53" i="95"/>
  <c r="E53" i="95"/>
  <c r="F53" i="95"/>
  <c r="G53" i="95"/>
  <c r="H53" i="95"/>
  <c r="I53" i="95"/>
  <c r="J53" i="95"/>
  <c r="K53" i="95"/>
  <c r="L53" i="95"/>
  <c r="M53" i="95"/>
  <c r="N53" i="95"/>
  <c r="O53" i="95"/>
  <c r="C53" i="95"/>
  <c r="G60" i="95"/>
  <c r="D59" i="95"/>
  <c r="D60" i="95" s="1"/>
  <c r="E59" i="95"/>
  <c r="E60" i="95" s="1"/>
  <c r="F59" i="95"/>
  <c r="F60" i="95" s="1"/>
  <c r="G59" i="95"/>
  <c r="H59" i="95"/>
  <c r="H60" i="95" s="1"/>
  <c r="I59" i="95"/>
  <c r="I60" i="95" s="1"/>
  <c r="J59" i="95"/>
  <c r="J60" i="95" s="1"/>
  <c r="K59" i="95"/>
  <c r="K60" i="95" s="1"/>
  <c r="L59" i="95"/>
  <c r="L60" i="95" s="1"/>
  <c r="M59" i="95"/>
  <c r="M60" i="95" s="1"/>
  <c r="N59" i="95"/>
  <c r="N60" i="95" s="1"/>
  <c r="O59" i="95"/>
  <c r="O60" i="95" s="1"/>
  <c r="C59" i="95"/>
  <c r="C60" i="95" s="1"/>
  <c r="D42" i="95"/>
  <c r="D43" i="95" s="1"/>
  <c r="E42" i="95"/>
  <c r="F42" i="95"/>
  <c r="G42" i="95"/>
  <c r="G43" i="95" s="1"/>
  <c r="H42" i="95"/>
  <c r="I42" i="95"/>
  <c r="J42" i="95"/>
  <c r="J43" i="95" s="1"/>
  <c r="K42" i="95"/>
  <c r="L42" i="95"/>
  <c r="L43" i="95" s="1"/>
  <c r="M42" i="95"/>
  <c r="N42" i="95"/>
  <c r="O42" i="95"/>
  <c r="C42" i="95"/>
  <c r="D35" i="95"/>
  <c r="D36" i="95" s="1"/>
  <c r="E35" i="95"/>
  <c r="F35" i="95"/>
  <c r="F36" i="95" s="1"/>
  <c r="G35" i="95"/>
  <c r="G47" i="95" s="1"/>
  <c r="H35" i="95"/>
  <c r="H47" i="95" s="1"/>
  <c r="I35" i="95"/>
  <c r="I36" i="95" s="1"/>
  <c r="J35" i="95"/>
  <c r="K35" i="95"/>
  <c r="K36" i="95" s="1"/>
  <c r="L35" i="95"/>
  <c r="L47" i="95" s="1"/>
  <c r="M35" i="95"/>
  <c r="N35" i="95"/>
  <c r="O35" i="95"/>
  <c r="C35" i="95"/>
  <c r="C21" i="95"/>
  <c r="D21" i="95"/>
  <c r="D26" i="95" s="1"/>
  <c r="O13" i="95"/>
  <c r="N13" i="95"/>
  <c r="M13" i="95"/>
  <c r="M14" i="95" s="1"/>
  <c r="L13" i="95"/>
  <c r="L14" i="95" s="1"/>
  <c r="K13" i="95"/>
  <c r="K14" i="95" s="1"/>
  <c r="J13" i="95"/>
  <c r="J14" i="95" s="1"/>
  <c r="I13" i="95"/>
  <c r="I14" i="95" s="1"/>
  <c r="H13" i="95"/>
  <c r="H14" i="95" s="1"/>
  <c r="G13" i="95"/>
  <c r="G14" i="95" s="1"/>
  <c r="F13" i="95"/>
  <c r="F14" i="95" s="1"/>
  <c r="E13" i="95"/>
  <c r="D13" i="95"/>
  <c r="C13" i="95"/>
  <c r="C26" i="95" s="1"/>
  <c r="O26" i="95" l="1"/>
  <c r="J26" i="95"/>
  <c r="M47" i="95"/>
  <c r="H26" i="95"/>
  <c r="G26" i="95"/>
  <c r="F26" i="95"/>
  <c r="E47" i="95"/>
  <c r="O47" i="95"/>
  <c r="K45" i="95"/>
  <c r="C47" i="95"/>
  <c r="E45" i="95"/>
  <c r="N45" i="95"/>
  <c r="I45" i="95"/>
  <c r="F45" i="95"/>
  <c r="E36" i="95"/>
  <c r="L36" i="95"/>
  <c r="J47" i="95"/>
  <c r="E43" i="95"/>
  <c r="H45" i="95"/>
  <c r="F47" i="95"/>
  <c r="G45" i="95"/>
  <c r="G36" i="95"/>
  <c r="F43" i="95"/>
  <c r="H36" i="95"/>
  <c r="D45" i="95"/>
  <c r="J36" i="95"/>
  <c r="I43" i="95"/>
  <c r="C45" i="95"/>
  <c r="C48" i="95" s="1"/>
  <c r="N47" i="95"/>
  <c r="O45" i="95"/>
  <c r="K43" i="95"/>
  <c r="M45" i="95"/>
  <c r="D47" i="95"/>
  <c r="M36" i="95"/>
  <c r="H43" i="95"/>
  <c r="K47" i="95"/>
  <c r="L45" i="95"/>
  <c r="N36" i="95"/>
  <c r="M43" i="95"/>
  <c r="C36" i="95"/>
  <c r="O36" i="95"/>
  <c r="N43" i="95"/>
  <c r="I47" i="95"/>
  <c r="J45" i="95"/>
  <c r="C43" i="95"/>
  <c r="O43" i="95"/>
  <c r="C24" i="95"/>
  <c r="C27" i="95" s="1"/>
  <c r="J21" i="95"/>
  <c r="K21" i="95"/>
  <c r="K24" i="95" s="1"/>
  <c r="K27" i="95" s="1"/>
  <c r="L21" i="95"/>
  <c r="L22" i="95" s="1"/>
  <c r="L25" i="95" s="1"/>
  <c r="N21" i="95"/>
  <c r="N24" i="95" s="1"/>
  <c r="N27" i="95" s="1"/>
  <c r="O21" i="95"/>
  <c r="O24" i="95" s="1"/>
  <c r="O27" i="95" s="1"/>
  <c r="I21" i="95"/>
  <c r="I26" i="95" s="1"/>
  <c r="D14" i="95"/>
  <c r="M21" i="95"/>
  <c r="M26" i="95" s="1"/>
  <c r="E21" i="95"/>
  <c r="E26" i="95" s="1"/>
  <c r="E14" i="95"/>
  <c r="F21" i="95"/>
  <c r="G21" i="95"/>
  <c r="H21" i="95"/>
  <c r="D24" i="95"/>
  <c r="D27" i="95" s="1"/>
  <c r="D22" i="95"/>
  <c r="N14" i="95"/>
  <c r="C14" i="95"/>
  <c r="O14" i="95"/>
  <c r="L26" i="95" l="1"/>
  <c r="K26" i="95"/>
  <c r="N26" i="95"/>
  <c r="H48" i="95"/>
  <c r="H46" i="95"/>
  <c r="E48" i="95"/>
  <c r="E46" i="95"/>
  <c r="K48" i="95"/>
  <c r="K46" i="95"/>
  <c r="J48" i="95"/>
  <c r="J46" i="95"/>
  <c r="F48" i="95"/>
  <c r="F46" i="95"/>
  <c r="M48" i="95"/>
  <c r="M46" i="95"/>
  <c r="O48" i="95"/>
  <c r="O46" i="95"/>
  <c r="L48" i="95"/>
  <c r="L46" i="95"/>
  <c r="D48" i="95"/>
  <c r="D46" i="95"/>
  <c r="I48" i="95"/>
  <c r="I46" i="95"/>
  <c r="G48" i="95"/>
  <c r="G46" i="95"/>
  <c r="C46" i="95"/>
  <c r="N48" i="95"/>
  <c r="N46" i="95"/>
  <c r="K22" i="95"/>
  <c r="K25" i="95" s="1"/>
  <c r="F24" i="95"/>
  <c r="F27" i="95" s="1"/>
  <c r="I24" i="95"/>
  <c r="I27" i="95" s="1"/>
  <c r="H24" i="95"/>
  <c r="H27" i="95" s="1"/>
  <c r="L24" i="95"/>
  <c r="L27" i="95" s="1"/>
  <c r="M24" i="95"/>
  <c r="M27" i="95" s="1"/>
  <c r="H22" i="95"/>
  <c r="H25" i="95" s="1"/>
  <c r="J22" i="95"/>
  <c r="J25" i="95" s="1"/>
  <c r="J24" i="95"/>
  <c r="J27" i="95" s="1"/>
  <c r="M22" i="95"/>
  <c r="M25" i="95" s="1"/>
  <c r="D25" i="95"/>
  <c r="O22" i="95"/>
  <c r="O25" i="95" s="1"/>
  <c r="N22" i="95"/>
  <c r="N25" i="95" s="1"/>
  <c r="C22" i="95"/>
  <c r="C25" i="95" s="1"/>
  <c r="G22" i="95"/>
  <c r="G25" i="95" s="1"/>
  <c r="F22" i="95"/>
  <c r="F25" i="95" s="1"/>
  <c r="G24" i="95"/>
  <c r="G27" i="95" s="1"/>
  <c r="I22" i="95"/>
  <c r="I25" i="95" s="1"/>
  <c r="E24" i="95"/>
  <c r="E27" i="95" s="1"/>
  <c r="E22" i="95"/>
  <c r="E25" i="95" s="1"/>
  <c r="G40" i="87" l="1"/>
  <c r="J9" i="57"/>
  <c r="I9" i="57"/>
  <c r="H9" i="57"/>
  <c r="G9" i="57"/>
  <c r="F9" i="57"/>
  <c r="E9" i="57"/>
  <c r="D9" i="57"/>
  <c r="C9" i="57"/>
  <c r="B9" i="57"/>
  <c r="J8" i="57"/>
  <c r="I8" i="57"/>
  <c r="H8" i="57"/>
  <c r="G8" i="57"/>
  <c r="F8" i="57"/>
  <c r="E8" i="57"/>
  <c r="D8" i="57"/>
  <c r="C8" i="57"/>
  <c r="B8" i="57"/>
  <c r="J7" i="57"/>
  <c r="I7" i="57"/>
  <c r="H7" i="57"/>
  <c r="G7" i="57"/>
  <c r="F7" i="57"/>
  <c r="E7" i="57"/>
  <c r="D7" i="57"/>
  <c r="C7" i="57"/>
  <c r="B7" i="57"/>
  <c r="J6" i="57"/>
  <c r="I6" i="57"/>
  <c r="H6" i="57"/>
  <c r="G6" i="57"/>
  <c r="F6" i="57"/>
  <c r="E6" i="57"/>
  <c r="D6" i="57"/>
  <c r="C6" i="57"/>
  <c r="B6" i="57"/>
  <c r="J5" i="57"/>
  <c r="I5" i="57"/>
  <c r="H5" i="57"/>
  <c r="G5" i="57"/>
  <c r="F5" i="57"/>
  <c r="E5" i="57"/>
  <c r="D5" i="57"/>
  <c r="C5" i="57"/>
  <c r="A9" i="57"/>
  <c r="A8" i="57"/>
  <c r="A7" i="57"/>
  <c r="A6" i="57"/>
  <c r="B5" i="57"/>
  <c r="H14" i="94"/>
  <c r="I14" i="94"/>
  <c r="L10" i="94"/>
  <c r="K4" i="94" l="1"/>
  <c r="I31" i="94"/>
  <c r="H31" i="94"/>
  <c r="I30" i="94"/>
  <c r="H30" i="94"/>
  <c r="I29" i="94"/>
  <c r="H29" i="94"/>
  <c r="E11" i="94"/>
  <c r="F11" i="94" s="1"/>
  <c r="G11" i="94" s="1"/>
  <c r="H11" i="94" s="1"/>
  <c r="I11" i="94" s="1"/>
  <c r="J11" i="94" s="1"/>
  <c r="K11" i="94" s="1"/>
  <c r="K7" i="94"/>
  <c r="K5" i="94"/>
  <c r="J4" i="94"/>
  <c r="E61" i="59"/>
  <c r="C36" i="42"/>
  <c r="E49" i="21"/>
  <c r="J14" i="94" l="1"/>
  <c r="J30" i="94" s="1"/>
  <c r="K14" i="94"/>
  <c r="K30" i="94" s="1"/>
  <c r="L11" i="94"/>
  <c r="K15" i="94"/>
  <c r="K31" i="94" s="1"/>
  <c r="K17" i="94"/>
  <c r="K29" i="94" s="1"/>
  <c r="I4" i="94"/>
  <c r="J5" i="94"/>
  <c r="J7" i="94"/>
  <c r="J48" i="57"/>
  <c r="J15" i="94" l="1"/>
  <c r="J31" i="94" s="1"/>
  <c r="I5" i="94"/>
  <c r="I7" i="94"/>
  <c r="J17" i="94"/>
  <c r="J29" i="94" s="1"/>
  <c r="H4" i="94"/>
  <c r="L17" i="94"/>
  <c r="L29" i="94" s="1"/>
  <c r="L14" i="94"/>
  <c r="L30" i="94" s="1"/>
  <c r="L15" i="94"/>
  <c r="L31" i="94" s="1"/>
  <c r="F50" i="59"/>
  <c r="F46" i="59"/>
  <c r="F39" i="59"/>
  <c r="I212" i="57"/>
  <c r="J212" i="57"/>
  <c r="K212" i="57"/>
  <c r="L212" i="57"/>
  <c r="M212" i="57"/>
  <c r="I213" i="57"/>
  <c r="J213" i="57"/>
  <c r="K213" i="57"/>
  <c r="L213" i="57"/>
  <c r="M213" i="57"/>
  <c r="B92" i="87" a="1"/>
  <c r="B92" i="87" s="1"/>
  <c r="N3" i="58"/>
  <c r="O3" i="58"/>
  <c r="P3" i="58"/>
  <c r="Q3" i="58"/>
  <c r="Q21" i="58" s="1"/>
  <c r="R3" i="58"/>
  <c r="R21" i="58" s="1"/>
  <c r="N24" i="58"/>
  <c r="O24" i="58"/>
  <c r="P24" i="58"/>
  <c r="Q24" i="58"/>
  <c r="R24" i="58"/>
  <c r="J8" i="10"/>
  <c r="K8" i="10"/>
  <c r="L8" i="10"/>
  <c r="M8" i="10"/>
  <c r="N8" i="10"/>
  <c r="J12" i="10"/>
  <c r="K12" i="10"/>
  <c r="L12" i="10"/>
  <c r="M12" i="10"/>
  <c r="N12" i="10"/>
  <c r="J24" i="10"/>
  <c r="K24" i="10"/>
  <c r="L24" i="10"/>
  <c r="M24" i="10"/>
  <c r="N24" i="10"/>
  <c r="J25" i="10"/>
  <c r="K25" i="10"/>
  <c r="L25" i="10"/>
  <c r="M25" i="10"/>
  <c r="N25" i="10"/>
  <c r="J31" i="10"/>
  <c r="J33" i="10" s="1"/>
  <c r="K31" i="10"/>
  <c r="L31" i="10"/>
  <c r="L33" i="10" s="1"/>
  <c r="M31" i="10"/>
  <c r="M33" i="10" s="1"/>
  <c r="N31" i="10"/>
  <c r="J32" i="10"/>
  <c r="K32" i="10"/>
  <c r="K33" i="10" s="1"/>
  <c r="L32" i="10"/>
  <c r="M32" i="10"/>
  <c r="N32" i="10"/>
  <c r="N33" i="10" s="1"/>
  <c r="I36" i="42"/>
  <c r="I32" i="42"/>
  <c r="I29" i="42"/>
  <c r="I30" i="42"/>
  <c r="I28" i="42"/>
  <c r="H7" i="94" l="1"/>
  <c r="I17" i="94"/>
  <c r="G4" i="94"/>
  <c r="H5" i="94"/>
  <c r="I15" i="94"/>
  <c r="P21" i="58"/>
  <c r="O21" i="58"/>
  <c r="N21" i="58"/>
  <c r="G5" i="94" l="1"/>
  <c r="H15" i="94"/>
  <c r="F4" i="94"/>
  <c r="G14" i="94"/>
  <c r="G7" i="94"/>
  <c r="H17" i="94"/>
  <c r="D22" i="59"/>
  <c r="D21" i="59"/>
  <c r="E21" i="82"/>
  <c r="D21" i="82"/>
  <c r="D19" i="82"/>
  <c r="F7" i="94" l="1"/>
  <c r="G17" i="94"/>
  <c r="F14" i="94"/>
  <c r="E4" i="94"/>
  <c r="D4" i="94" s="1"/>
  <c r="F5" i="94"/>
  <c r="G15" i="94"/>
  <c r="F52" i="21"/>
  <c r="F49" i="21"/>
  <c r="E20" i="21"/>
  <c r="C18" i="21"/>
  <c r="E24" i="58"/>
  <c r="F33" i="43"/>
  <c r="F32" i="43"/>
  <c r="F31" i="43"/>
  <c r="E5" i="94" l="1"/>
  <c r="D5" i="94" s="1"/>
  <c r="F15" i="94"/>
  <c r="E7" i="94"/>
  <c r="D7" i="94" s="1"/>
  <c r="F17" i="94"/>
  <c r="C213" i="57"/>
  <c r="D213" i="57"/>
  <c r="E213" i="57"/>
  <c r="F213" i="57"/>
  <c r="G213" i="57"/>
  <c r="H213" i="57"/>
  <c r="N213" i="57"/>
  <c r="O213" i="57"/>
  <c r="P213" i="57"/>
  <c r="Q213" i="57"/>
  <c r="R213" i="57"/>
  <c r="S213" i="57"/>
  <c r="T213" i="57"/>
  <c r="U213" i="57"/>
  <c r="V213" i="57"/>
  <c r="W213" i="57"/>
  <c r="X213" i="57"/>
  <c r="Y213" i="57"/>
  <c r="Z213" i="57"/>
  <c r="AA213" i="57"/>
  <c r="AB213" i="57"/>
  <c r="AC213" i="57"/>
  <c r="AD213" i="57"/>
  <c r="AE213" i="57"/>
  <c r="AF213" i="57"/>
  <c r="AG213" i="57"/>
  <c r="AH213" i="57"/>
  <c r="AI213" i="57"/>
  <c r="AJ213" i="57"/>
  <c r="AK213" i="57"/>
  <c r="AL213" i="57"/>
  <c r="AM213" i="57"/>
  <c r="AN213" i="57"/>
  <c r="AO213" i="57"/>
  <c r="AP213" i="57"/>
  <c r="AQ213" i="57"/>
  <c r="AR213" i="57"/>
  <c r="AS213" i="57"/>
  <c r="AT213" i="57"/>
  <c r="AU213" i="57"/>
  <c r="AV213" i="57"/>
  <c r="AW213" i="57"/>
  <c r="AX213" i="57"/>
  <c r="AY213" i="57"/>
  <c r="AZ213" i="57"/>
  <c r="BA213" i="57"/>
  <c r="BB213" i="57"/>
  <c r="BC213" i="57"/>
  <c r="BD213" i="57"/>
  <c r="BE213" i="57"/>
  <c r="BF213" i="57"/>
  <c r="BG213" i="57"/>
  <c r="BH213" i="57"/>
  <c r="BI213" i="57"/>
  <c r="BJ213" i="57"/>
  <c r="BK213" i="57"/>
  <c r="BL213" i="57"/>
  <c r="BM213" i="57"/>
  <c r="BN213" i="57"/>
  <c r="BO213" i="57"/>
  <c r="BP213" i="57"/>
  <c r="BQ213" i="57"/>
  <c r="BR213" i="57"/>
  <c r="BS213" i="57"/>
  <c r="BT213" i="57"/>
  <c r="BU213" i="57"/>
  <c r="BV213" i="57"/>
  <c r="BW213" i="57"/>
  <c r="BX213" i="57"/>
  <c r="BY213" i="57"/>
  <c r="BZ213" i="57"/>
  <c r="CA213" i="57"/>
  <c r="B213" i="57"/>
  <c r="C212" i="57"/>
  <c r="D212" i="57"/>
  <c r="E212" i="57"/>
  <c r="F212" i="57"/>
  <c r="G212" i="57"/>
  <c r="H212" i="57"/>
  <c r="N212" i="57"/>
  <c r="O212" i="57"/>
  <c r="P212" i="57"/>
  <c r="Q212" i="57"/>
  <c r="R212" i="57"/>
  <c r="S212" i="57"/>
  <c r="T212" i="57"/>
  <c r="U212" i="57"/>
  <c r="V212" i="57"/>
  <c r="W212" i="57"/>
  <c r="X212" i="57"/>
  <c r="Y212" i="57"/>
  <c r="Z212" i="57"/>
  <c r="AA212" i="57"/>
  <c r="AB212" i="57"/>
  <c r="AC212" i="57"/>
  <c r="AD212" i="57"/>
  <c r="AE212" i="57"/>
  <c r="AF212" i="57"/>
  <c r="AG212" i="57"/>
  <c r="AH212" i="57"/>
  <c r="AI212" i="57"/>
  <c r="AJ212" i="57"/>
  <c r="AK212" i="57"/>
  <c r="AL212" i="57"/>
  <c r="AM212" i="57"/>
  <c r="AN212" i="57"/>
  <c r="AO212" i="57"/>
  <c r="AP212" i="57"/>
  <c r="AQ212" i="57"/>
  <c r="AR212" i="57"/>
  <c r="AS212" i="57"/>
  <c r="AT212" i="57"/>
  <c r="AU212" i="57"/>
  <c r="AV212" i="57"/>
  <c r="AW212" i="57"/>
  <c r="AX212" i="57"/>
  <c r="AY212" i="57"/>
  <c r="AZ212" i="57"/>
  <c r="BA212" i="57"/>
  <c r="BB212" i="57"/>
  <c r="BC212" i="57"/>
  <c r="BD212" i="57"/>
  <c r="BE212" i="57"/>
  <c r="BF212" i="57"/>
  <c r="BG212" i="57"/>
  <c r="BH212" i="57"/>
  <c r="BI212" i="57"/>
  <c r="BJ212" i="57"/>
  <c r="BK212" i="57"/>
  <c r="BL212" i="57"/>
  <c r="BM212" i="57"/>
  <c r="BN212" i="57"/>
  <c r="BO212" i="57"/>
  <c r="BP212" i="57"/>
  <c r="BQ212" i="57"/>
  <c r="BR212" i="57"/>
  <c r="BS212" i="57"/>
  <c r="BT212" i="57"/>
  <c r="BU212" i="57"/>
  <c r="BV212" i="57"/>
  <c r="BW212" i="57"/>
  <c r="BX212" i="57"/>
  <c r="BY212" i="57"/>
  <c r="BZ212" i="57"/>
  <c r="CA212" i="57"/>
  <c r="B212" i="57"/>
  <c r="D39" i="60"/>
  <c r="F17" i="42" l="1"/>
  <c r="G17" i="42"/>
  <c r="H17" i="42"/>
  <c r="F16" i="42"/>
  <c r="G16" i="42"/>
  <c r="H16" i="42"/>
  <c r="E21" i="59"/>
  <c r="F21" i="59"/>
  <c r="G21" i="59"/>
  <c r="H21" i="59"/>
  <c r="I21" i="59"/>
  <c r="J21" i="59"/>
  <c r="K21" i="59"/>
  <c r="J11" i="10" s="1"/>
  <c r="L21" i="59"/>
  <c r="K11" i="10" s="1"/>
  <c r="M21" i="59"/>
  <c r="L11" i="10" s="1"/>
  <c r="N21" i="59"/>
  <c r="M11" i="10" s="1"/>
  <c r="O21" i="59"/>
  <c r="N11" i="10" s="1"/>
  <c r="B4" i="88" l="1"/>
  <c r="C268" i="57" s="1"/>
  <c r="F292" i="57" s="1"/>
  <c r="H49" i="82"/>
  <c r="H48" i="82"/>
  <c r="H46" i="82"/>
  <c r="H45" i="82"/>
  <c r="H32" i="82"/>
  <c r="H31" i="82"/>
  <c r="H29" i="82"/>
  <c r="H28" i="82"/>
  <c r="C8" i="10"/>
  <c r="C12" i="10"/>
  <c r="C25" i="10" s="1"/>
  <c r="C24" i="10"/>
  <c r="H51" i="82" l="1"/>
  <c r="H52" i="82"/>
  <c r="H34" i="82"/>
  <c r="H35" i="82"/>
  <c r="C137" i="93" l="1"/>
  <c r="C134" i="93"/>
  <c r="B134" i="93"/>
  <c r="C132" i="93"/>
  <c r="B132" i="93"/>
  <c r="F131" i="93"/>
  <c r="E131" i="93"/>
  <c r="D131" i="93"/>
  <c r="C131" i="93"/>
  <c r="B131" i="93"/>
  <c r="C130" i="93"/>
  <c r="B130" i="93"/>
  <c r="C129" i="93"/>
  <c r="B129" i="93"/>
  <c r="C128" i="93"/>
  <c r="B128" i="93"/>
  <c r="C102" i="93"/>
  <c r="C103" i="93" s="1"/>
  <c r="D102" i="93"/>
  <c r="D103" i="93" s="1"/>
  <c r="E102" i="93"/>
  <c r="F102" i="93"/>
  <c r="G102" i="93"/>
  <c r="B102" i="93"/>
  <c r="B103" i="93" s="1"/>
  <c r="B71" i="93"/>
  <c r="B73" i="93"/>
  <c r="B74" i="93"/>
  <c r="B72" i="93"/>
  <c r="B65" i="93"/>
  <c r="C59" i="93"/>
  <c r="D59" i="93"/>
  <c r="E59" i="93"/>
  <c r="F59" i="93"/>
  <c r="B59" i="93"/>
  <c r="B66" i="93"/>
  <c r="B77" i="93" l="1"/>
  <c r="J24" i="58"/>
  <c r="K24" i="58"/>
  <c r="L24" i="58"/>
  <c r="M24" i="58"/>
  <c r="I24" i="58"/>
  <c r="A341" i="57"/>
  <c r="A356" i="57" l="1"/>
  <c r="B352" i="57"/>
  <c r="C352" i="57"/>
  <c r="D352" i="57"/>
  <c r="A353" i="57"/>
  <c r="A354" i="57"/>
  <c r="A355" i="57"/>
  <c r="L25" i="76"/>
  <c r="J24" i="76"/>
  <c r="J22" i="76"/>
  <c r="J21" i="76"/>
  <c r="H25" i="76"/>
  <c r="I25" i="76"/>
  <c r="G25" i="76"/>
  <c r="J25" i="76" l="1"/>
  <c r="B15" i="82" l="1"/>
  <c r="C229" i="57" s="1"/>
  <c r="B93" i="87" l="1" a="1"/>
  <c r="B93" i="87" s="1"/>
  <c r="AG94" i="87" l="1"/>
  <c r="AG95" i="87" s="1"/>
  <c r="AG96" i="87" s="1"/>
  <c r="E21" i="21" l="1"/>
  <c r="F4" i="82"/>
  <c r="D50" i="57"/>
  <c r="E50" i="57"/>
  <c r="F50" i="57"/>
  <c r="G50" i="57"/>
  <c r="H50" i="57"/>
  <c r="C50" i="57"/>
  <c r="F24" i="58"/>
  <c r="G24" i="58"/>
  <c r="H24" i="58"/>
  <c r="I50" i="57" l="1"/>
  <c r="F3" i="21"/>
  <c r="F21" i="21" s="1"/>
  <c r="B28" i="76"/>
  <c r="D6" i="88"/>
  <c r="D270" i="57" s="1"/>
  <c r="D4" i="88"/>
  <c r="D268" i="57" s="1"/>
  <c r="D3" i="88"/>
  <c r="D267" i="57" s="1"/>
  <c r="C6" i="88"/>
  <c r="B270" i="57" s="1"/>
  <c r="B6" i="88"/>
  <c r="C270" i="57" s="1"/>
  <c r="C4" i="88"/>
  <c r="B268" i="57" s="1"/>
  <c r="C3" i="88"/>
  <c r="B267" i="57" s="1"/>
  <c r="B3" i="88"/>
  <c r="C267" i="57" s="1"/>
  <c r="C5" i="88" l="1"/>
  <c r="B269" i="57" s="1"/>
  <c r="D5" i="88"/>
  <c r="D269" i="57" s="1"/>
  <c r="L28" i="76"/>
  <c r="G28" i="76"/>
  <c r="G3" i="21"/>
  <c r="G21" i="21" s="1"/>
  <c r="H3" i="21" l="1"/>
  <c r="H21" i="21" s="1"/>
  <c r="I3" i="21" l="1"/>
  <c r="I21" i="21" s="1"/>
  <c r="I39" i="60"/>
  <c r="E12" i="81"/>
  <c r="F12" i="81"/>
  <c r="D12" i="81"/>
  <c r="D13" i="81" l="1"/>
  <c r="B133" i="93"/>
  <c r="B136" i="93" s="1"/>
  <c r="B137" i="93" s="1"/>
  <c r="C346" i="57"/>
  <c r="B346" i="57"/>
  <c r="C133" i="93"/>
  <c r="D346" i="57"/>
  <c r="J3" i="21"/>
  <c r="J21" i="21" s="1"/>
  <c r="D13" i="43"/>
  <c r="F11" i="58"/>
  <c r="F10" i="58"/>
  <c r="K3" i="21" l="1"/>
  <c r="K21" i="21" s="1"/>
  <c r="L3" i="21" l="1"/>
  <c r="L21" i="21" s="1"/>
  <c r="E15" i="82"/>
  <c r="E17" i="82"/>
  <c r="E20" i="82" s="1"/>
  <c r="E16" i="82"/>
  <c r="E19" i="82" s="1"/>
  <c r="B8" i="88" s="1"/>
  <c r="C272" i="57" s="1"/>
  <c r="G294" i="57" s="1"/>
  <c r="C230" i="57" l="1"/>
  <c r="C231" i="57" s="1"/>
  <c r="M3" i="21"/>
  <c r="M21" i="21" s="1"/>
  <c r="N3" i="21" l="1"/>
  <c r="N21" i="21" s="1"/>
  <c r="E4" i="82"/>
  <c r="D16" i="82"/>
  <c r="D15" i="82"/>
  <c r="O3" i="21" l="1"/>
  <c r="O21" i="21" s="1"/>
  <c r="H13" i="82"/>
  <c r="H16" i="82" s="1"/>
  <c r="H14" i="82"/>
  <c r="H11" i="82"/>
  <c r="H10" i="82"/>
  <c r="H3" i="82"/>
  <c r="H2" i="82"/>
  <c r="E22" i="76"/>
  <c r="D25" i="76"/>
  <c r="B5" i="88"/>
  <c r="C269" i="57" s="1"/>
  <c r="F291" i="57" s="1"/>
  <c r="D12" i="82"/>
  <c r="F298" i="57" l="1"/>
  <c r="G293" i="57"/>
  <c r="G298" i="57" s="1"/>
  <c r="H17" i="82"/>
  <c r="B9" i="88"/>
  <c r="C273" i="57" s="1"/>
  <c r="B7" i="88"/>
  <c r="C271" i="57" s="1"/>
  <c r="G6" i="87" l="1"/>
  <c r="D84" i="87"/>
  <c r="H6" i="87"/>
  <c r="I6" i="87"/>
  <c r="I37" i="87"/>
  <c r="I38" i="87" s="1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I49" i="87" s="1"/>
  <c r="I50" i="87" s="1"/>
  <c r="I51" i="87" s="1"/>
  <c r="I52" i="87" s="1"/>
  <c r="I53" i="87" s="1"/>
  <c r="I54" i="87" s="1"/>
  <c r="I55" i="87" s="1"/>
  <c r="I56" i="87" s="1"/>
  <c r="I57" i="87" s="1"/>
  <c r="I58" i="87" s="1"/>
  <c r="I59" i="87" s="1"/>
  <c r="I60" i="87" s="1"/>
  <c r="H37" i="87"/>
  <c r="H38" i="87" s="1"/>
  <c r="H39" i="87" s="1"/>
  <c r="H40" i="87" s="1"/>
  <c r="H41" i="87" s="1"/>
  <c r="H42" i="87" s="1"/>
  <c r="H43" i="87" s="1"/>
  <c r="H44" i="87" s="1"/>
  <c r="H45" i="87" s="1"/>
  <c r="H46" i="87" s="1"/>
  <c r="H47" i="87" s="1"/>
  <c r="H48" i="87" s="1"/>
  <c r="H49" i="87" s="1"/>
  <c r="H50" i="87" s="1"/>
  <c r="H51" i="87" s="1"/>
  <c r="H52" i="87" s="1"/>
  <c r="H53" i="87" s="1"/>
  <c r="H54" i="87" s="1"/>
  <c r="H55" i="87" s="1"/>
  <c r="H56" i="87" s="1"/>
  <c r="H57" i="87" s="1"/>
  <c r="H58" i="87" s="1"/>
  <c r="H59" i="87" s="1"/>
  <c r="H60" i="87" s="1"/>
  <c r="G37" i="87"/>
  <c r="C7" i="87"/>
  <c r="D7" i="87" s="1"/>
  <c r="C8" i="87"/>
  <c r="D8" i="87" s="1"/>
  <c r="C9" i="87"/>
  <c r="D9" i="87" s="1"/>
  <c r="C10" i="87"/>
  <c r="D10" i="87" s="1"/>
  <c r="C11" i="87"/>
  <c r="D11" i="87" s="1"/>
  <c r="C12" i="87"/>
  <c r="D12" i="87" s="1"/>
  <c r="C13" i="87"/>
  <c r="D13" i="87" s="1"/>
  <c r="C14" i="87"/>
  <c r="D14" i="87" s="1"/>
  <c r="C15" i="87"/>
  <c r="D15" i="87" s="1"/>
  <c r="C16" i="87"/>
  <c r="D16" i="87" s="1"/>
  <c r="C17" i="87"/>
  <c r="D17" i="87" s="1"/>
  <c r="C18" i="87"/>
  <c r="D18" i="87" s="1"/>
  <c r="C19" i="87"/>
  <c r="D19" i="87" s="1"/>
  <c r="C20" i="87"/>
  <c r="D20" i="87" s="1"/>
  <c r="C21" i="87"/>
  <c r="D21" i="87" s="1"/>
  <c r="C22" i="87"/>
  <c r="D22" i="87" s="1"/>
  <c r="C23" i="87"/>
  <c r="D23" i="87" s="1"/>
  <c r="C24" i="87"/>
  <c r="D24" i="87" s="1"/>
  <c r="C25" i="87"/>
  <c r="D25" i="87" s="1"/>
  <c r="C26" i="87"/>
  <c r="D26" i="87" s="1"/>
  <c r="C27" i="87"/>
  <c r="D27" i="87" s="1"/>
  <c r="C28" i="87"/>
  <c r="D28" i="87" s="1"/>
  <c r="C29" i="87"/>
  <c r="D29" i="87" s="1"/>
  <c r="C30" i="87"/>
  <c r="D30" i="87" s="1"/>
  <c r="C31" i="87"/>
  <c r="D31" i="87" s="1"/>
  <c r="C32" i="87"/>
  <c r="D32" i="87" s="1"/>
  <c r="C33" i="87"/>
  <c r="D33" i="87" s="1"/>
  <c r="C34" i="87"/>
  <c r="D34" i="87" s="1"/>
  <c r="C35" i="87"/>
  <c r="D35" i="87" s="1"/>
  <c r="C36" i="87"/>
  <c r="D36" i="87" s="1"/>
  <c r="C6" i="87"/>
  <c r="D6" i="87" s="1"/>
  <c r="H61" i="87" l="1"/>
  <c r="H62" i="87" s="1"/>
  <c r="H63" i="87" s="1"/>
  <c r="H64" i="87" s="1"/>
  <c r="H65" i="87" s="1"/>
  <c r="H66" i="87" s="1"/>
  <c r="H67" i="87" s="1"/>
  <c r="H68" i="87" s="1"/>
  <c r="H69" i="87" s="1"/>
  <c r="H70" i="87" s="1"/>
  <c r="H71" i="87" s="1"/>
  <c r="H72" i="87" s="1"/>
  <c r="H73" i="87" s="1"/>
  <c r="H74" i="87" s="1"/>
  <c r="H75" i="87" s="1"/>
  <c r="H76" i="87" s="1"/>
  <c r="H77" i="87" s="1"/>
  <c r="H78" i="87" s="1"/>
  <c r="H79" i="87" s="1"/>
  <c r="H80" i="87" s="1"/>
  <c r="G38" i="87"/>
  <c r="G39" i="87" s="1"/>
  <c r="G41" i="87" s="1"/>
  <c r="G42" i="87" s="1"/>
  <c r="G43" i="87" s="1"/>
  <c r="G44" i="87" s="1"/>
  <c r="G45" i="87" s="1"/>
  <c r="G46" i="87" s="1"/>
  <c r="G47" i="87" s="1"/>
  <c r="G48" i="87" s="1"/>
  <c r="G49" i="87" s="1"/>
  <c r="G50" i="87" s="1"/>
  <c r="G51" i="87" s="1"/>
  <c r="G52" i="87" s="1"/>
  <c r="G53" i="87" s="1"/>
  <c r="G54" i="87" s="1"/>
  <c r="G55" i="87" s="1"/>
  <c r="G56" i="87" s="1"/>
  <c r="G57" i="87" s="1"/>
  <c r="G58" i="87" s="1"/>
  <c r="G59" i="87" s="1"/>
  <c r="G60" i="87" s="1"/>
  <c r="G61" i="87" s="1"/>
  <c r="B84" i="87"/>
  <c r="I84" i="87"/>
  <c r="I85" i="87" s="1"/>
  <c r="H84" i="87"/>
  <c r="G84" i="87"/>
  <c r="F84" i="87"/>
  <c r="E84" i="87"/>
  <c r="C84" i="87"/>
  <c r="I61" i="87"/>
  <c r="I62" i="87" s="1"/>
  <c r="I63" i="87" s="1"/>
  <c r="I64" i="87" s="1"/>
  <c r="I65" i="87" s="1"/>
  <c r="I66" i="87" s="1"/>
  <c r="I67" i="87" s="1"/>
  <c r="I68" i="87" s="1"/>
  <c r="I69" i="87" s="1"/>
  <c r="I70" i="87" s="1"/>
  <c r="I71" i="87" s="1"/>
  <c r="I72" i="87" s="1"/>
  <c r="I73" i="87" s="1"/>
  <c r="I74" i="87" s="1"/>
  <c r="I75" i="87" s="1"/>
  <c r="I76" i="87" s="1"/>
  <c r="I77" i="87" s="1"/>
  <c r="I78" i="87" s="1"/>
  <c r="I79" i="87" s="1"/>
  <c r="I80" i="87" s="1"/>
  <c r="E16" i="87"/>
  <c r="E28" i="87"/>
  <c r="E17" i="87"/>
  <c r="E29" i="87"/>
  <c r="E18" i="87"/>
  <c r="E30" i="87"/>
  <c r="E7" i="87"/>
  <c r="E19" i="87"/>
  <c r="E31" i="87"/>
  <c r="E8" i="87"/>
  <c r="E20" i="87"/>
  <c r="E32" i="87"/>
  <c r="E9" i="87"/>
  <c r="E21" i="87"/>
  <c r="E33" i="87"/>
  <c r="E10" i="87"/>
  <c r="E22" i="87"/>
  <c r="E34" i="87"/>
  <c r="E6" i="87"/>
  <c r="E11" i="87"/>
  <c r="E23" i="87"/>
  <c r="E35" i="87"/>
  <c r="E25" i="87"/>
  <c r="E12" i="87"/>
  <c r="E24" i="87"/>
  <c r="E36" i="87"/>
  <c r="E13" i="87"/>
  <c r="E14" i="87"/>
  <c r="E26" i="87"/>
  <c r="E15" i="87"/>
  <c r="E27" i="87"/>
  <c r="B106" i="57"/>
  <c r="B107" i="57"/>
  <c r="B108" i="57"/>
  <c r="B109" i="57"/>
  <c r="B110" i="57"/>
  <c r="B111" i="57"/>
  <c r="B112" i="57"/>
  <c r="B113" i="57"/>
  <c r="B114" i="57"/>
  <c r="B115" i="57"/>
  <c r="B105" i="57"/>
  <c r="B43" i="57"/>
  <c r="D12" i="10"/>
  <c r="C43" i="57" s="1"/>
  <c r="E12" i="10"/>
  <c r="F12" i="10"/>
  <c r="G12" i="10"/>
  <c r="H12" i="10"/>
  <c r="I12" i="10"/>
  <c r="G62" i="87" l="1"/>
  <c r="G63" i="87" s="1"/>
  <c r="G64" i="87" s="1"/>
  <c r="G65" i="87" s="1"/>
  <c r="G66" i="87" s="1"/>
  <c r="G67" i="87" s="1"/>
  <c r="G68" i="87" s="1"/>
  <c r="G69" i="87" s="1"/>
  <c r="G70" i="87" s="1"/>
  <c r="G71" i="87" s="1"/>
  <c r="G72" i="87" s="1"/>
  <c r="G73" i="87" s="1"/>
  <c r="G74" i="87" s="1"/>
  <c r="G75" i="87" s="1"/>
  <c r="G76" i="87" s="1"/>
  <c r="G77" i="87" s="1"/>
  <c r="G78" i="87" s="1"/>
  <c r="G79" i="87" s="1"/>
  <c r="G80" i="87" s="1"/>
  <c r="H43" i="57"/>
  <c r="C50" i="76"/>
  <c r="F43" i="57"/>
  <c r="E43" i="57"/>
  <c r="D43" i="57"/>
  <c r="G43" i="57"/>
  <c r="I86" i="87"/>
  <c r="C40" i="76" s="1"/>
  <c r="F242" i="57" l="1"/>
  <c r="G242" i="57" s="1"/>
  <c r="F239" i="57"/>
  <c r="I43" i="57"/>
  <c r="AH94" i="87" a="1"/>
  <c r="AH94" i="87" s="1"/>
  <c r="I87" i="87"/>
  <c r="C45" i="76" s="1"/>
  <c r="F244" i="57" l="1"/>
  <c r="T87" i="87"/>
  <c r="R87" i="87"/>
  <c r="T86" i="87"/>
  <c r="K86" i="87"/>
  <c r="E40" i="76" s="1"/>
  <c r="J87" i="87"/>
  <c r="D45" i="76" s="1"/>
  <c r="K87" i="87"/>
  <c r="E45" i="76" s="1"/>
  <c r="T85" i="87"/>
  <c r="Q86" i="87"/>
  <c r="P87" i="87"/>
  <c r="P86" i="87"/>
  <c r="Q87" i="87"/>
  <c r="R85" i="87"/>
  <c r="J86" i="87"/>
  <c r="D40" i="76" s="1"/>
  <c r="P85" i="87"/>
  <c r="K85" i="87"/>
  <c r="E50" i="76" s="1"/>
  <c r="M87" i="87"/>
  <c r="G45" i="76" s="1"/>
  <c r="Q85" i="87"/>
  <c r="M86" i="87"/>
  <c r="G40" i="76" s="1"/>
  <c r="N87" i="87"/>
  <c r="H45" i="76" s="1"/>
  <c r="L86" i="87"/>
  <c r="F40" i="76" s="1"/>
  <c r="N85" i="87"/>
  <c r="H50" i="76" s="1"/>
  <c r="S86" i="87"/>
  <c r="O87" i="87"/>
  <c r="I45" i="76" s="1"/>
  <c r="R86" i="87"/>
  <c r="S85" i="87"/>
  <c r="L85" i="87"/>
  <c r="F50" i="76" s="1"/>
  <c r="L87" i="87"/>
  <c r="F45" i="76" s="1"/>
  <c r="J85" i="87"/>
  <c r="D50" i="76" s="1"/>
  <c r="S87" i="87"/>
  <c r="M85" i="87"/>
  <c r="G50" i="76" s="1"/>
  <c r="O86" i="87"/>
  <c r="I40" i="76" s="1"/>
  <c r="G239" i="57" s="1"/>
  <c r="G244" i="57" s="1"/>
  <c r="O85" i="87"/>
  <c r="I50" i="76" s="1"/>
  <c r="N86" i="87"/>
  <c r="H40" i="76" s="1"/>
  <c r="D4" i="82"/>
  <c r="G243" i="57" l="1"/>
  <c r="D6" i="23"/>
  <c r="E6" i="23"/>
  <c r="F6" i="23"/>
  <c r="G6" i="23"/>
  <c r="H6" i="23"/>
  <c r="C6" i="23"/>
  <c r="O23" i="76" l="1"/>
  <c r="O24" i="76"/>
  <c r="O22" i="76"/>
  <c r="O21" i="76"/>
  <c r="E24" i="76"/>
  <c r="E21" i="76"/>
  <c r="M25" i="76" l="1"/>
  <c r="N25" i="76"/>
  <c r="B27" i="76"/>
  <c r="C25" i="76"/>
  <c r="C27" i="76" l="1"/>
  <c r="C30" i="76"/>
  <c r="G30" i="76"/>
  <c r="L27" i="76"/>
  <c r="M27" i="76" s="1"/>
  <c r="G27" i="76"/>
  <c r="H30" i="76"/>
  <c r="I30" i="76"/>
  <c r="H27" i="76"/>
  <c r="L30" i="76"/>
  <c r="N30" i="76"/>
  <c r="M30" i="76"/>
  <c r="O25" i="76"/>
  <c r="O30" i="76" l="1"/>
  <c r="J30" i="76"/>
  <c r="T17" i="41" l="1"/>
  <c r="D105" i="57" l="1"/>
  <c r="C105" i="57" l="1"/>
  <c r="H49" i="21"/>
  <c r="I49" i="21"/>
  <c r="L49" i="21"/>
  <c r="G49" i="21"/>
  <c r="G105" i="57" l="1"/>
  <c r="E105" i="57"/>
  <c r="F105" i="57"/>
  <c r="K49" i="21"/>
  <c r="J49" i="21"/>
  <c r="O49" i="21"/>
  <c r="N49" i="21"/>
  <c r="H105" i="57" l="1"/>
  <c r="M49" i="21"/>
  <c r="F52" i="82" l="1"/>
  <c r="E52" i="82"/>
  <c r="E55" i="82" s="1"/>
  <c r="B230" i="57" s="1"/>
  <c r="D52" i="82"/>
  <c r="D55" i="82" s="1"/>
  <c r="D57" i="82" s="1"/>
  <c r="E57" i="82" s="1"/>
  <c r="B52" i="82"/>
  <c r="F51" i="82"/>
  <c r="E51" i="82"/>
  <c r="E54" i="82" s="1"/>
  <c r="D8" i="88" s="1"/>
  <c r="D272" i="57" s="1"/>
  <c r="D51" i="82"/>
  <c r="D54" i="82" s="1"/>
  <c r="D56" i="82" s="1"/>
  <c r="B51" i="82"/>
  <c r="F50" i="82"/>
  <c r="E50" i="82"/>
  <c r="D50" i="82"/>
  <c r="H50" i="82" s="1"/>
  <c r="B50" i="82"/>
  <c r="F47" i="82"/>
  <c r="E47" i="82"/>
  <c r="D47" i="82"/>
  <c r="B47" i="82"/>
  <c r="F35" i="82"/>
  <c r="E35" i="82"/>
  <c r="E38" i="82" s="1"/>
  <c r="D230" i="57" s="1"/>
  <c r="D35" i="82"/>
  <c r="B35" i="82"/>
  <c r="F34" i="82"/>
  <c r="E34" i="82"/>
  <c r="E37" i="82" s="1"/>
  <c r="C8" i="88" s="1"/>
  <c r="B272" i="57" s="1"/>
  <c r="D34" i="82"/>
  <c r="B34" i="82"/>
  <c r="F33" i="82"/>
  <c r="E33" i="82"/>
  <c r="D33" i="82"/>
  <c r="B33" i="82"/>
  <c r="D229" i="57" s="1"/>
  <c r="F30" i="82"/>
  <c r="E30" i="82"/>
  <c r="D30" i="82"/>
  <c r="H30" i="82" s="1"/>
  <c r="B30" i="82"/>
  <c r="E12" i="82"/>
  <c r="H12" i="82" s="1"/>
  <c r="F12" i="82"/>
  <c r="F15" i="82"/>
  <c r="H15" i="82" s="1"/>
  <c r="B12" i="82"/>
  <c r="F17" i="82"/>
  <c r="D17" i="82"/>
  <c r="B17" i="82"/>
  <c r="F16" i="82"/>
  <c r="B16" i="82"/>
  <c r="H4" i="82"/>
  <c r="B229" i="57" l="1"/>
  <c r="B231" i="57" s="1"/>
  <c r="D231" i="57"/>
  <c r="D9" i="88"/>
  <c r="D273" i="57" s="1"/>
  <c r="D7" i="88"/>
  <c r="D271" i="57" s="1"/>
  <c r="C9" i="88"/>
  <c r="B273" i="57" s="1"/>
  <c r="C7" i="88"/>
  <c r="B271" i="57" s="1"/>
  <c r="H33" i="82"/>
  <c r="H47" i="82"/>
  <c r="D37" i="82"/>
  <c r="D39" i="82" s="1"/>
  <c r="E39" i="82" s="1"/>
  <c r="D20" i="82"/>
  <c r="D38" i="82"/>
  <c r="D40" i="82" s="1"/>
  <c r="E40" i="82" s="1"/>
  <c r="E56" i="82"/>
  <c r="D58" i="82"/>
  <c r="E58" i="82" s="1"/>
  <c r="D8" i="76" s="1"/>
  <c r="D22" i="82" l="1"/>
  <c r="E22" i="82" s="1"/>
  <c r="D23" i="82"/>
  <c r="D337" i="57"/>
  <c r="D41" i="82"/>
  <c r="E41" i="82" s="1"/>
  <c r="B8" i="76" s="1"/>
  <c r="E23" i="82" l="1"/>
  <c r="C8" i="76" s="1"/>
  <c r="B337" i="57"/>
  <c r="F8" i="76"/>
  <c r="C72" i="93" l="1"/>
  <c r="C337" i="57"/>
  <c r="D28" i="59"/>
  <c r="E28" i="59"/>
  <c r="F28" i="59"/>
  <c r="G28" i="59"/>
  <c r="H28" i="59"/>
  <c r="I28" i="59"/>
  <c r="J28" i="59"/>
  <c r="K28" i="59"/>
  <c r="L28" i="59"/>
  <c r="M28" i="59"/>
  <c r="N28" i="59"/>
  <c r="O28" i="59"/>
  <c r="B25" i="76" l="1"/>
  <c r="B30" i="76" l="1"/>
  <c r="E25" i="76"/>
  <c r="D30" i="76"/>
  <c r="E30" i="76" l="1"/>
  <c r="G17" i="41" l="1"/>
  <c r="D3" i="58"/>
  <c r="D4" i="58" s="1"/>
  <c r="E3" i="58"/>
  <c r="E21" i="58" s="1"/>
  <c r="F3" i="58"/>
  <c r="F21" i="58" s="1"/>
  <c r="G3" i="58"/>
  <c r="G21" i="58" s="1"/>
  <c r="H3" i="58"/>
  <c r="I3" i="58"/>
  <c r="I21" i="58" s="1"/>
  <c r="J3" i="58"/>
  <c r="J21" i="58" s="1"/>
  <c r="K3" i="58"/>
  <c r="K21" i="58" s="1"/>
  <c r="L3" i="58"/>
  <c r="L21" i="58" s="1"/>
  <c r="M3" i="58"/>
  <c r="C3" i="58"/>
  <c r="H21" i="58" l="1"/>
  <c r="B6" i="76"/>
  <c r="B334" i="57" s="1"/>
  <c r="M21" i="58"/>
  <c r="C12" i="58"/>
  <c r="C15" i="58" s="1"/>
  <c r="E12" i="58"/>
  <c r="C66" i="93" s="1"/>
  <c r="D66" i="93" s="1"/>
  <c r="D12" i="58"/>
  <c r="H4" i="58"/>
  <c r="H22" i="58" s="1"/>
  <c r="H23" i="58" s="1"/>
  <c r="C65" i="93" l="1"/>
  <c r="D65" i="93" s="1"/>
  <c r="D15" i="58"/>
  <c r="C71" i="93"/>
  <c r="D16" i="58"/>
  <c r="E16" i="58"/>
  <c r="E15" i="58"/>
  <c r="C16" i="58"/>
  <c r="F12" i="58"/>
  <c r="N4" i="58" l="1"/>
  <c r="O4" i="58"/>
  <c r="Q4" i="58"/>
  <c r="P4" i="58"/>
  <c r="R4" i="58"/>
  <c r="F16" i="58"/>
  <c r="F15" i="58"/>
  <c r="R22" i="58" l="1"/>
  <c r="R23" i="58" s="1"/>
  <c r="N6" i="10"/>
  <c r="P22" i="58"/>
  <c r="P23" i="58" s="1"/>
  <c r="L6" i="10"/>
  <c r="Q22" i="58"/>
  <c r="Q23" i="58" s="1"/>
  <c r="M6" i="10"/>
  <c r="O22" i="58"/>
  <c r="O23" i="58" s="1"/>
  <c r="K6" i="10"/>
  <c r="N22" i="58"/>
  <c r="N23" i="58" s="1"/>
  <c r="J6" i="10"/>
  <c r="N1" i="10" l="1"/>
  <c r="N13" i="43" l="1"/>
  <c r="C17" i="43" l="1"/>
  <c r="B17" i="43"/>
  <c r="D42" i="59" l="1"/>
  <c r="C31" i="10" s="1"/>
  <c r="E42" i="59"/>
  <c r="F42" i="59"/>
  <c r="G42" i="59"/>
  <c r="H42" i="59"/>
  <c r="I42" i="59"/>
  <c r="J42" i="59"/>
  <c r="K42" i="59"/>
  <c r="L42" i="59"/>
  <c r="M42" i="59"/>
  <c r="N42" i="59"/>
  <c r="O42" i="59"/>
  <c r="D43" i="59"/>
  <c r="C32" i="10" s="1"/>
  <c r="E43" i="59"/>
  <c r="F43" i="59"/>
  <c r="G43" i="59"/>
  <c r="H43" i="59"/>
  <c r="I43" i="59"/>
  <c r="J43" i="59"/>
  <c r="K43" i="59"/>
  <c r="L43" i="59"/>
  <c r="M43" i="59"/>
  <c r="N43" i="59"/>
  <c r="O43" i="59"/>
  <c r="D36" i="59"/>
  <c r="E36" i="59"/>
  <c r="F36" i="59"/>
  <c r="G36" i="59"/>
  <c r="H36" i="59"/>
  <c r="I36" i="59"/>
  <c r="J36" i="59"/>
  <c r="K36" i="59"/>
  <c r="L36" i="59"/>
  <c r="M36" i="59"/>
  <c r="N36" i="59"/>
  <c r="O36" i="59"/>
  <c r="D37" i="59"/>
  <c r="E37" i="59"/>
  <c r="F37" i="59"/>
  <c r="G37" i="59"/>
  <c r="H37" i="59"/>
  <c r="I37" i="59"/>
  <c r="J37" i="59"/>
  <c r="K37" i="59"/>
  <c r="L37" i="59"/>
  <c r="M37" i="59"/>
  <c r="N37" i="59"/>
  <c r="O37" i="59"/>
  <c r="D13" i="60"/>
  <c r="E13" i="60"/>
  <c r="F13" i="60"/>
  <c r="G13" i="60"/>
  <c r="H13" i="60"/>
  <c r="I13" i="60"/>
  <c r="J13" i="60"/>
  <c r="K13" i="60"/>
  <c r="L13" i="60"/>
  <c r="M13" i="60"/>
  <c r="N13" i="60"/>
  <c r="O13" i="60"/>
  <c r="P13" i="60"/>
  <c r="Q13" i="60"/>
  <c r="C13" i="60"/>
  <c r="C33" i="10" l="1"/>
  <c r="M38" i="59"/>
  <c r="E38" i="59"/>
  <c r="H38" i="59"/>
  <c r="F38" i="59"/>
  <c r="O38" i="59"/>
  <c r="N38" i="59"/>
  <c r="D38" i="59"/>
  <c r="I38" i="59"/>
  <c r="L38" i="59"/>
  <c r="K38" i="59"/>
  <c r="J38" i="59"/>
  <c r="G38" i="59"/>
  <c r="D31" i="10" l="1"/>
  <c r="E31" i="10"/>
  <c r="F31" i="10"/>
  <c r="G31" i="10"/>
  <c r="H31" i="10"/>
  <c r="I31" i="10"/>
  <c r="D32" i="10"/>
  <c r="E32" i="10"/>
  <c r="F32" i="10"/>
  <c r="G32" i="10"/>
  <c r="H32" i="10"/>
  <c r="I32" i="10"/>
  <c r="D44" i="59"/>
  <c r="E44" i="59"/>
  <c r="F44" i="59"/>
  <c r="G44" i="59"/>
  <c r="H44" i="59"/>
  <c r="I44" i="59"/>
  <c r="J44" i="59"/>
  <c r="K44" i="59"/>
  <c r="L44" i="59"/>
  <c r="M44" i="59"/>
  <c r="N44" i="59"/>
  <c r="O44" i="59"/>
  <c r="N46" i="59"/>
  <c r="O46" i="59"/>
  <c r="N47" i="59"/>
  <c r="N51" i="59" s="1"/>
  <c r="M16" i="10" s="1"/>
  <c r="O47" i="59"/>
  <c r="O51" i="59" s="1"/>
  <c r="N16" i="10" s="1"/>
  <c r="D46" i="59"/>
  <c r="E46" i="59"/>
  <c r="G46" i="59"/>
  <c r="H46" i="59"/>
  <c r="I46" i="59"/>
  <c r="J46" i="59"/>
  <c r="K46" i="59"/>
  <c r="L46" i="59"/>
  <c r="M46" i="59"/>
  <c r="D47" i="59"/>
  <c r="D51" i="59" s="1"/>
  <c r="C16" i="10" s="1"/>
  <c r="E47" i="59"/>
  <c r="E51" i="59" s="1"/>
  <c r="F47" i="59"/>
  <c r="F51" i="59" s="1"/>
  <c r="G47" i="59"/>
  <c r="G51" i="59" s="1"/>
  <c r="H47" i="59"/>
  <c r="H51" i="59" s="1"/>
  <c r="I47" i="59"/>
  <c r="I51" i="59" s="1"/>
  <c r="J47" i="59"/>
  <c r="J51" i="59" s="1"/>
  <c r="K47" i="59"/>
  <c r="L47" i="59"/>
  <c r="L51" i="59" s="1"/>
  <c r="K16" i="10" s="1"/>
  <c r="M47" i="59"/>
  <c r="M51" i="59" s="1"/>
  <c r="L16" i="10" s="1"/>
  <c r="D17" i="59"/>
  <c r="C27" i="10" s="1"/>
  <c r="E17" i="59"/>
  <c r="F17" i="59"/>
  <c r="F25" i="20" s="1"/>
  <c r="G17" i="59"/>
  <c r="G25" i="20" s="1"/>
  <c r="H17" i="59"/>
  <c r="H25" i="20" s="1"/>
  <c r="I17" i="59"/>
  <c r="I25" i="20" s="1"/>
  <c r="J17" i="59"/>
  <c r="J25" i="20" s="1"/>
  <c r="K17" i="59"/>
  <c r="L17" i="59"/>
  <c r="M17" i="59"/>
  <c r="N17" i="59"/>
  <c r="O17" i="59"/>
  <c r="J27" i="10" l="1"/>
  <c r="L27" i="10"/>
  <c r="K27" i="10"/>
  <c r="N27" i="10"/>
  <c r="M27" i="10"/>
  <c r="E25" i="20"/>
  <c r="E18" i="59"/>
  <c r="G33" i="10"/>
  <c r="F48" i="57" s="1"/>
  <c r="D33" i="10"/>
  <c r="C48" i="57" s="1"/>
  <c r="O25" i="20"/>
  <c r="N25" i="20"/>
  <c r="M25" i="20"/>
  <c r="L25" i="20"/>
  <c r="K25" i="20"/>
  <c r="D25" i="20"/>
  <c r="D16" i="10"/>
  <c r="C45" i="57" s="1"/>
  <c r="E55" i="59"/>
  <c r="D55" i="59"/>
  <c r="O55" i="59"/>
  <c r="M55" i="59"/>
  <c r="N55" i="59"/>
  <c r="L55" i="59"/>
  <c r="I16" i="10"/>
  <c r="H45" i="57" s="1"/>
  <c r="J55" i="59"/>
  <c r="H16" i="10"/>
  <c r="G45" i="57" s="1"/>
  <c r="I55" i="59"/>
  <c r="G16" i="10"/>
  <c r="F45" i="57" s="1"/>
  <c r="H55" i="59"/>
  <c r="F16" i="10"/>
  <c r="E45" i="57" s="1"/>
  <c r="G55" i="59"/>
  <c r="E16" i="10"/>
  <c r="D45" i="57" s="1"/>
  <c r="F55" i="59"/>
  <c r="H33" i="10"/>
  <c r="G48" i="57" s="1"/>
  <c r="I33" i="10"/>
  <c r="H48" i="57" s="1"/>
  <c r="F33" i="10"/>
  <c r="E48" i="57" s="1"/>
  <c r="E33" i="10"/>
  <c r="D48" i="57" s="1"/>
  <c r="E27" i="10"/>
  <c r="I27" i="10"/>
  <c r="H27" i="10"/>
  <c r="G27" i="10"/>
  <c r="F27" i="10"/>
  <c r="K48" i="59"/>
  <c r="D27" i="10"/>
  <c r="F48" i="59"/>
  <c r="K51" i="59"/>
  <c r="J16" i="10" s="1"/>
  <c r="J48" i="59"/>
  <c r="D48" i="59"/>
  <c r="H48" i="59"/>
  <c r="O48" i="59"/>
  <c r="G48" i="59"/>
  <c r="N48" i="59"/>
  <c r="L48" i="59"/>
  <c r="M48" i="59"/>
  <c r="I48" i="59"/>
  <c r="E48" i="59"/>
  <c r="I45" i="57" l="1"/>
  <c r="I48" i="57"/>
  <c r="K55" i="59"/>
  <c r="D3" i="59"/>
  <c r="D60" i="59" s="1"/>
  <c r="E3" i="59"/>
  <c r="E60" i="59" s="1"/>
  <c r="F3" i="59"/>
  <c r="F60" i="59" s="1"/>
  <c r="G3" i="59"/>
  <c r="G60" i="59" s="1"/>
  <c r="H3" i="59"/>
  <c r="H60" i="59" s="1"/>
  <c r="I3" i="59"/>
  <c r="I60" i="59" s="1"/>
  <c r="J3" i="59"/>
  <c r="J60" i="59" s="1"/>
  <c r="K3" i="59"/>
  <c r="K60" i="59" s="1"/>
  <c r="L3" i="59"/>
  <c r="L60" i="59" s="1"/>
  <c r="M3" i="59"/>
  <c r="M60" i="59" s="1"/>
  <c r="N3" i="59"/>
  <c r="N60" i="59" s="1"/>
  <c r="O3" i="59"/>
  <c r="O60" i="59" s="1"/>
  <c r="D4" i="59"/>
  <c r="E4" i="59"/>
  <c r="F4" i="59"/>
  <c r="G4" i="59"/>
  <c r="H4" i="59"/>
  <c r="I4" i="59"/>
  <c r="J4" i="59"/>
  <c r="K4" i="59"/>
  <c r="L4" i="59"/>
  <c r="M4" i="59"/>
  <c r="N4" i="59"/>
  <c r="O4" i="59"/>
  <c r="D5" i="59"/>
  <c r="E5" i="59"/>
  <c r="F5" i="59"/>
  <c r="G5" i="59"/>
  <c r="H5" i="59"/>
  <c r="I5" i="59"/>
  <c r="J5" i="59"/>
  <c r="K5" i="59"/>
  <c r="L5" i="59"/>
  <c r="M5" i="59"/>
  <c r="N5" i="59"/>
  <c r="O5" i="59"/>
  <c r="D6" i="59"/>
  <c r="E6" i="59"/>
  <c r="F6" i="59"/>
  <c r="G6" i="59"/>
  <c r="H6" i="59"/>
  <c r="I6" i="59"/>
  <c r="J6" i="59"/>
  <c r="K6" i="59"/>
  <c r="L6" i="59"/>
  <c r="M6" i="59"/>
  <c r="N6" i="59"/>
  <c r="O6" i="59"/>
  <c r="D7" i="59"/>
  <c r="E7" i="59"/>
  <c r="F7" i="59"/>
  <c r="G7" i="59"/>
  <c r="H7" i="59"/>
  <c r="I7" i="59"/>
  <c r="J7" i="59"/>
  <c r="K7" i="59"/>
  <c r="L7" i="59"/>
  <c r="M7" i="59"/>
  <c r="N7" i="59"/>
  <c r="O7" i="59"/>
  <c r="D8" i="59"/>
  <c r="D39" i="59" s="1"/>
  <c r="E8" i="59"/>
  <c r="F8" i="59"/>
  <c r="G8" i="59"/>
  <c r="G39" i="59" s="1"/>
  <c r="H8" i="59"/>
  <c r="H39" i="59" s="1"/>
  <c r="I8" i="59"/>
  <c r="I39" i="59" s="1"/>
  <c r="J8" i="59"/>
  <c r="J39" i="59" s="1"/>
  <c r="K8" i="59"/>
  <c r="K39" i="59" s="1"/>
  <c r="L8" i="59"/>
  <c r="L39" i="59" s="1"/>
  <c r="M8" i="59"/>
  <c r="M39" i="59" s="1"/>
  <c r="N8" i="59"/>
  <c r="N39" i="59" s="1"/>
  <c r="O8" i="59"/>
  <c r="O39" i="59" s="1"/>
  <c r="G61" i="59" l="1"/>
  <c r="G23" i="20" s="1"/>
  <c r="F61" i="59"/>
  <c r="F23" i="20" s="1"/>
  <c r="E22" i="20"/>
  <c r="D61" i="59"/>
  <c r="D22" i="20" s="1"/>
  <c r="O61" i="59"/>
  <c r="N61" i="59"/>
  <c r="H61" i="59"/>
  <c r="M61" i="59"/>
  <c r="I61" i="59"/>
  <c r="I22" i="20" s="1"/>
  <c r="L61" i="59"/>
  <c r="K61" i="59"/>
  <c r="J61" i="59"/>
  <c r="J23" i="20" s="1"/>
  <c r="E25" i="10"/>
  <c r="E39" i="59"/>
  <c r="E50" i="59" s="1"/>
  <c r="E54" i="59" s="1"/>
  <c r="E56" i="59" s="1"/>
  <c r="E57" i="59" s="1"/>
  <c r="D23" i="20"/>
  <c r="O23" i="20"/>
  <c r="H25" i="10"/>
  <c r="F25" i="10"/>
  <c r="G25" i="10"/>
  <c r="H23" i="20"/>
  <c r="L23" i="20"/>
  <c r="E23" i="20"/>
  <c r="D25" i="10"/>
  <c r="I25" i="10"/>
  <c r="N50" i="59"/>
  <c r="O50" i="59"/>
  <c r="K50" i="59"/>
  <c r="J50" i="59"/>
  <c r="J54" i="59" s="1"/>
  <c r="J56" i="59" s="1"/>
  <c r="J57" i="59" s="1"/>
  <c r="I50" i="59"/>
  <c r="I54" i="59" s="1"/>
  <c r="I56" i="59" s="1"/>
  <c r="I57" i="59" s="1"/>
  <c r="G50" i="59"/>
  <c r="G54" i="59" s="1"/>
  <c r="G56" i="59" s="1"/>
  <c r="G57" i="59" s="1"/>
  <c r="F54" i="59"/>
  <c r="F56" i="59" s="1"/>
  <c r="F57" i="59" s="1"/>
  <c r="M50" i="59"/>
  <c r="L50" i="59"/>
  <c r="H50" i="59"/>
  <c r="H54" i="59" s="1"/>
  <c r="H56" i="59" s="1"/>
  <c r="H57" i="59" s="1"/>
  <c r="D50" i="59"/>
  <c r="H24" i="10"/>
  <c r="G24" i="10"/>
  <c r="F24" i="10"/>
  <c r="I24" i="10"/>
  <c r="E24" i="10"/>
  <c r="D24" i="10"/>
  <c r="N23" i="20" l="1"/>
  <c r="M23" i="20"/>
  <c r="L54" i="59"/>
  <c r="L56" i="59" s="1"/>
  <c r="L57" i="59" s="1"/>
  <c r="K15" i="10"/>
  <c r="K17" i="10" s="1"/>
  <c r="O54" i="59"/>
  <c r="O56" i="59" s="1"/>
  <c r="O57" i="59" s="1"/>
  <c r="N15" i="10"/>
  <c r="N17" i="10" s="1"/>
  <c r="N54" i="59"/>
  <c r="N56" i="59" s="1"/>
  <c r="N57" i="59" s="1"/>
  <c r="M15" i="10"/>
  <c r="M17" i="10" s="1"/>
  <c r="K22" i="20"/>
  <c r="M54" i="59"/>
  <c r="M56" i="59" s="1"/>
  <c r="M57" i="59" s="1"/>
  <c r="L15" i="10"/>
  <c r="L17" i="10" s="1"/>
  <c r="K54" i="59"/>
  <c r="K56" i="59" s="1"/>
  <c r="K57" i="59" s="1"/>
  <c r="J15" i="10"/>
  <c r="J17" i="10" s="1"/>
  <c r="K23" i="20"/>
  <c r="D54" i="59"/>
  <c r="D56" i="59" s="1"/>
  <c r="D57" i="59" s="1"/>
  <c r="C15" i="10"/>
  <c r="C17" i="10" s="1"/>
  <c r="I23" i="20"/>
  <c r="N22" i="20"/>
  <c r="F15" i="10"/>
  <c r="E44" i="57" s="1"/>
  <c r="G52" i="59"/>
  <c r="M22" i="20"/>
  <c r="N52" i="59"/>
  <c r="E52" i="59"/>
  <c r="D15" i="10"/>
  <c r="C44" i="57" s="1"/>
  <c r="E15" i="10"/>
  <c r="D44" i="57" s="1"/>
  <c r="F52" i="59"/>
  <c r="G15" i="10"/>
  <c r="F44" i="57" s="1"/>
  <c r="D52" i="59"/>
  <c r="H52" i="59"/>
  <c r="H15" i="10"/>
  <c r="G44" i="57" s="1"/>
  <c r="I52" i="59"/>
  <c r="I15" i="10"/>
  <c r="H44" i="57" s="1"/>
  <c r="J52" i="59"/>
  <c r="O52" i="59"/>
  <c r="L52" i="59"/>
  <c r="M52" i="59"/>
  <c r="K52" i="59"/>
  <c r="L22" i="20"/>
  <c r="H22" i="20"/>
  <c r="F22" i="20"/>
  <c r="J22" i="20"/>
  <c r="O22" i="20"/>
  <c r="G22" i="20"/>
  <c r="I44" i="57" l="1"/>
  <c r="E4" i="58"/>
  <c r="E22" i="58" s="1"/>
  <c r="E23" i="58" s="1"/>
  <c r="F4" i="58"/>
  <c r="G4" i="58"/>
  <c r="C6" i="10" s="1"/>
  <c r="I4" i="58"/>
  <c r="I22" i="58" s="1"/>
  <c r="I23" i="58" s="1"/>
  <c r="J4" i="58"/>
  <c r="J22" i="58" s="1"/>
  <c r="J23" i="58" s="1"/>
  <c r="K4" i="58"/>
  <c r="K22" i="58" s="1"/>
  <c r="K23" i="58" s="1"/>
  <c r="L4" i="58"/>
  <c r="L22" i="58" s="1"/>
  <c r="L23" i="58" s="1"/>
  <c r="M4" i="58"/>
  <c r="M22" i="58" s="1"/>
  <c r="M23" i="58" s="1"/>
  <c r="C4" i="58"/>
  <c r="G22" i="58" l="1"/>
  <c r="G23" i="58" s="1"/>
  <c r="F22" i="58"/>
  <c r="F23" i="58" s="1"/>
  <c r="E6" i="10"/>
  <c r="F6" i="10"/>
  <c r="I6" i="10"/>
  <c r="H6" i="10"/>
  <c r="G6" i="10"/>
  <c r="D18" i="59"/>
  <c r="C9" i="10" s="1"/>
  <c r="F18" i="59"/>
  <c r="G18" i="59"/>
  <c r="H18" i="59"/>
  <c r="I18" i="59"/>
  <c r="J18" i="59"/>
  <c r="K18" i="59"/>
  <c r="J9" i="10" s="1"/>
  <c r="L18" i="59"/>
  <c r="K9" i="10" s="1"/>
  <c r="M18" i="59"/>
  <c r="L9" i="10" s="1"/>
  <c r="N18" i="59"/>
  <c r="M9" i="10" s="1"/>
  <c r="O18" i="59"/>
  <c r="N9" i="10" s="1"/>
  <c r="D8" i="10"/>
  <c r="E8" i="10"/>
  <c r="F8" i="10"/>
  <c r="G8" i="10"/>
  <c r="H8" i="10"/>
  <c r="I8" i="10"/>
  <c r="C26" i="60"/>
  <c r="D26" i="60"/>
  <c r="E26" i="60"/>
  <c r="F26" i="60"/>
  <c r="G26" i="60"/>
  <c r="H26" i="60"/>
  <c r="I26" i="60"/>
  <c r="J26" i="60"/>
  <c r="K26" i="60"/>
  <c r="L26" i="60"/>
  <c r="M26" i="60"/>
  <c r="N26" i="60"/>
  <c r="O26" i="60"/>
  <c r="P26" i="60"/>
  <c r="Q26" i="60"/>
  <c r="Q12" i="60"/>
  <c r="Q14" i="60" s="1"/>
  <c r="P12" i="60"/>
  <c r="P14" i="60" s="1"/>
  <c r="O12" i="60"/>
  <c r="O14" i="60" s="1"/>
  <c r="N12" i="60"/>
  <c r="N14" i="60" s="1"/>
  <c r="M12" i="60"/>
  <c r="M14" i="60" s="1"/>
  <c r="L12" i="60"/>
  <c r="L14" i="60" s="1"/>
  <c r="K12" i="60"/>
  <c r="K14" i="60" s="1"/>
  <c r="J12" i="60"/>
  <c r="J14" i="60" s="1"/>
  <c r="I12" i="60"/>
  <c r="I14" i="60" s="1"/>
  <c r="H12" i="60"/>
  <c r="H14" i="60" s="1"/>
  <c r="G12" i="60"/>
  <c r="G14" i="60" s="1"/>
  <c r="F12" i="60"/>
  <c r="F14" i="60" s="1"/>
  <c r="E12" i="60"/>
  <c r="E14" i="60" s="1"/>
  <c r="D12" i="60"/>
  <c r="D14" i="60" s="1"/>
  <c r="C12" i="60"/>
  <c r="C14" i="60" s="1"/>
  <c r="I1" i="10" l="1"/>
  <c r="J12" i="59"/>
  <c r="D12" i="59"/>
  <c r="H12" i="59"/>
  <c r="G12" i="59"/>
  <c r="I12" i="59"/>
  <c r="F12" i="59"/>
  <c r="F4" i="42"/>
  <c r="I9" i="10"/>
  <c r="H9" i="10"/>
  <c r="G9" i="10"/>
  <c r="F9" i="10"/>
  <c r="E9" i="10"/>
  <c r="D9" i="10"/>
  <c r="K39" i="60"/>
  <c r="C39" i="60"/>
  <c r="O39" i="60"/>
  <c r="P39" i="60"/>
  <c r="E39" i="60"/>
  <c r="J39" i="60"/>
  <c r="N39" i="60"/>
  <c r="Q39" i="60"/>
  <c r="F39" i="60"/>
  <c r="G39" i="60"/>
  <c r="L39" i="60"/>
  <c r="M39" i="60"/>
  <c r="H39" i="60"/>
  <c r="D128" i="93" l="1"/>
  <c r="D9" i="59"/>
  <c r="C5" i="10" s="1"/>
  <c r="E9" i="59"/>
  <c r="F9" i="59"/>
  <c r="G9" i="59"/>
  <c r="H9" i="59"/>
  <c r="I9" i="59"/>
  <c r="J9" i="59"/>
  <c r="K9" i="59"/>
  <c r="J5" i="10" s="1"/>
  <c r="L9" i="59"/>
  <c r="K5" i="10" s="1"/>
  <c r="M9" i="59"/>
  <c r="L5" i="10" s="1"/>
  <c r="N9" i="59"/>
  <c r="M5" i="10" s="1"/>
  <c r="O9" i="59"/>
  <c r="N5" i="10" s="1"/>
  <c r="D10" i="59"/>
  <c r="C4" i="10" s="1"/>
  <c r="E10" i="59"/>
  <c r="F10" i="59"/>
  <c r="G10" i="59"/>
  <c r="H10" i="59"/>
  <c r="I10" i="59"/>
  <c r="J10" i="59"/>
  <c r="K10" i="59"/>
  <c r="J4" i="10" s="1"/>
  <c r="L10" i="59"/>
  <c r="K4" i="10" s="1"/>
  <c r="M10" i="59"/>
  <c r="L4" i="10" s="1"/>
  <c r="N10" i="59"/>
  <c r="M4" i="10" s="1"/>
  <c r="O10" i="59"/>
  <c r="N4" i="10" s="1"/>
  <c r="E4" i="10" l="1"/>
  <c r="D4" i="10"/>
  <c r="H4" i="10"/>
  <c r="F4" i="10"/>
  <c r="G4" i="10"/>
  <c r="I4" i="10"/>
  <c r="G5" i="10"/>
  <c r="H13" i="59"/>
  <c r="F5" i="10"/>
  <c r="G13" i="59"/>
  <c r="H5" i="10"/>
  <c r="I13" i="59"/>
  <c r="E5" i="10"/>
  <c r="F13" i="59"/>
  <c r="I5" i="10"/>
  <c r="J13" i="59"/>
  <c r="D5" i="10"/>
  <c r="D13" i="59"/>
  <c r="D18" i="21" l="1"/>
  <c r="D21" i="21" s="1"/>
  <c r="D49" i="21" s="1"/>
  <c r="D6" i="10" l="1"/>
  <c r="M12" i="59"/>
  <c r="M13" i="59" s="1"/>
  <c r="N12" i="59"/>
  <c r="N13" i="59" s="1"/>
  <c r="K12" i="59"/>
  <c r="K13" i="59" s="1"/>
  <c r="O12" i="59"/>
  <c r="O13" i="59" s="1"/>
  <c r="C21" i="21"/>
  <c r="C49" i="21" s="1"/>
  <c r="L12" i="59" l="1"/>
  <c r="L13" i="59" s="1"/>
  <c r="E12" i="59"/>
  <c r="E13" i="59" s="1"/>
  <c r="C14" i="21"/>
  <c r="C38" i="57"/>
  <c r="C39" i="57"/>
  <c r="E38" i="57"/>
  <c r="F38" i="57"/>
  <c r="G38" i="57"/>
  <c r="H38" i="57"/>
  <c r="D38" i="57"/>
  <c r="E39" i="57"/>
  <c r="F39" i="57"/>
  <c r="G39" i="57"/>
  <c r="H39" i="57"/>
  <c r="D39" i="57"/>
  <c r="B40" i="57"/>
  <c r="B41" i="57"/>
  <c r="B42" i="57"/>
  <c r="B39" i="57"/>
  <c r="I39" i="57" l="1"/>
  <c r="J39" i="57" s="1"/>
  <c r="J47" i="57" s="1"/>
  <c r="I38" i="57"/>
  <c r="J38" i="57" s="1"/>
  <c r="O29" i="59" l="1"/>
  <c r="N10" i="10" s="1"/>
  <c r="D29" i="59"/>
  <c r="C10" i="10" s="1"/>
  <c r="E29" i="59"/>
  <c r="F29" i="59"/>
  <c r="G29" i="59"/>
  <c r="H29" i="59"/>
  <c r="I29" i="59"/>
  <c r="J29" i="59"/>
  <c r="K29" i="59"/>
  <c r="J10" i="10" s="1"/>
  <c r="L29" i="59"/>
  <c r="K10" i="10" s="1"/>
  <c r="M29" i="59"/>
  <c r="L10" i="10" s="1"/>
  <c r="N29" i="59"/>
  <c r="M10" i="10" s="1"/>
  <c r="K26" i="10" l="1"/>
  <c r="K28" i="10" s="1"/>
  <c r="K13" i="10"/>
  <c r="J26" i="10"/>
  <c r="J28" i="10" s="1"/>
  <c r="J13" i="10"/>
  <c r="N26" i="10"/>
  <c r="N28" i="10" s="1"/>
  <c r="N13" i="10"/>
  <c r="M26" i="10"/>
  <c r="M28" i="10" s="1"/>
  <c r="M13" i="10"/>
  <c r="L26" i="10"/>
  <c r="L28" i="10" s="1"/>
  <c r="L13" i="10"/>
  <c r="K30" i="59"/>
  <c r="J30" i="59"/>
  <c r="I10" i="10"/>
  <c r="H41" i="57" s="1"/>
  <c r="E30" i="59"/>
  <c r="D10" i="10"/>
  <c r="I30" i="59"/>
  <c r="H10" i="10"/>
  <c r="G41" i="57" s="1"/>
  <c r="H30" i="59"/>
  <c r="G10" i="10"/>
  <c r="F41" i="57" s="1"/>
  <c r="D30" i="59"/>
  <c r="G30" i="59"/>
  <c r="F10" i="10"/>
  <c r="E41" i="57" s="1"/>
  <c r="N30" i="59"/>
  <c r="F30" i="59"/>
  <c r="E10" i="10"/>
  <c r="D41" i="57" s="1"/>
  <c r="M30" i="59"/>
  <c r="L30" i="59"/>
  <c r="O30" i="59"/>
  <c r="G40" i="57"/>
  <c r="F40" i="57"/>
  <c r="C40" i="57"/>
  <c r="H40" i="57"/>
  <c r="I41" i="57" l="1"/>
  <c r="N20" i="10"/>
  <c r="N19" i="10"/>
  <c r="M20" i="10"/>
  <c r="M19" i="10"/>
  <c r="N36" i="10"/>
  <c r="N39" i="10" s="1"/>
  <c r="N38" i="10"/>
  <c r="J19" i="10"/>
  <c r="J20" i="10"/>
  <c r="M36" i="10"/>
  <c r="M39" i="10" s="1"/>
  <c r="M38" i="10"/>
  <c r="J38" i="10"/>
  <c r="J36" i="10"/>
  <c r="J39" i="10" s="1"/>
  <c r="L20" i="10"/>
  <c r="L19" i="10"/>
  <c r="K19" i="10"/>
  <c r="K20" i="10"/>
  <c r="L36" i="10"/>
  <c r="L39" i="10" s="1"/>
  <c r="L38" i="10"/>
  <c r="K36" i="10"/>
  <c r="K39" i="10" s="1"/>
  <c r="K38" i="10"/>
  <c r="C41" i="57"/>
  <c r="E40" i="57"/>
  <c r="D40" i="57"/>
  <c r="I40" i="57" l="1"/>
  <c r="J46" i="10"/>
  <c r="J42" i="10"/>
  <c r="J43" i="10" s="1"/>
  <c r="J29" i="10" s="1"/>
  <c r="K27" i="20" s="1"/>
  <c r="J21" i="10"/>
  <c r="J35" i="10"/>
  <c r="J47" i="10" s="1"/>
  <c r="J48" i="10" s="1"/>
  <c r="M46" i="10"/>
  <c r="M42" i="10"/>
  <c r="M43" i="10" s="1"/>
  <c r="M29" i="10" s="1"/>
  <c r="N27" i="20" s="1"/>
  <c r="M21" i="10"/>
  <c r="M35" i="10"/>
  <c r="M47" i="10" s="1"/>
  <c r="N42" i="10"/>
  <c r="N43" i="10" s="1"/>
  <c r="N29" i="10" s="1"/>
  <c r="O27" i="20" s="1"/>
  <c r="N46" i="10"/>
  <c r="N35" i="10"/>
  <c r="N47" i="10" s="1"/>
  <c r="N48" i="10" s="1"/>
  <c r="N21" i="10"/>
  <c r="K46" i="10"/>
  <c r="K42" i="10"/>
  <c r="K43" i="10" s="1"/>
  <c r="K29" i="10" s="1"/>
  <c r="L27" i="20" s="1"/>
  <c r="K21" i="10"/>
  <c r="K35" i="10"/>
  <c r="K47" i="10" s="1"/>
  <c r="K48" i="10" s="1"/>
  <c r="L42" i="10"/>
  <c r="L43" i="10" s="1"/>
  <c r="L29" i="10" s="1"/>
  <c r="M27" i="20" s="1"/>
  <c r="L46" i="10"/>
  <c r="L35" i="10"/>
  <c r="L47" i="10" s="1"/>
  <c r="L48" i="10" s="1"/>
  <c r="L21" i="10"/>
  <c r="M48" i="10" l="1"/>
  <c r="D28" i="42"/>
  <c r="E28" i="42"/>
  <c r="F28" i="42"/>
  <c r="G28" i="42"/>
  <c r="H28" i="42"/>
  <c r="C28" i="42"/>
  <c r="D10" i="42"/>
  <c r="E10" i="42"/>
  <c r="T16" i="41" l="1"/>
  <c r="O16" i="41"/>
  <c r="D19" i="23" l="1"/>
  <c r="C356" i="57" s="1"/>
  <c r="E19" i="23"/>
  <c r="D356" i="57" s="1"/>
  <c r="F19" i="23"/>
  <c r="G19" i="23"/>
  <c r="H19" i="23"/>
  <c r="C19" i="23"/>
  <c r="B356" i="57" s="1"/>
  <c r="E356" i="57" s="1"/>
  <c r="D17" i="42" l="1"/>
  <c r="E17" i="42"/>
  <c r="C17" i="42"/>
  <c r="C19" i="42" s="1"/>
  <c r="E16" i="42"/>
  <c r="D16" i="42"/>
  <c r="C16" i="42"/>
  <c r="C18" i="42" s="1"/>
  <c r="E66" i="21"/>
  <c r="C117" i="57" s="1"/>
  <c r="F66" i="21"/>
  <c r="D117" i="57" s="1"/>
  <c r="G66" i="21"/>
  <c r="E117" i="57" s="1"/>
  <c r="H66" i="21"/>
  <c r="F117" i="57" s="1"/>
  <c r="I66" i="21"/>
  <c r="G117" i="57" s="1"/>
  <c r="J66" i="21"/>
  <c r="H117" i="57" s="1"/>
  <c r="K66" i="21"/>
  <c r="L66" i="21"/>
  <c r="M66" i="21"/>
  <c r="N66" i="21"/>
  <c r="O66" i="21"/>
  <c r="D66" i="21"/>
  <c r="E19" i="42" l="1"/>
  <c r="C22" i="93" s="1"/>
  <c r="D18" i="42"/>
  <c r="B19" i="93" s="1"/>
  <c r="E18" i="42"/>
  <c r="C19" i="93" s="1"/>
  <c r="D19" i="42"/>
  <c r="B22" i="93" s="1"/>
  <c r="E17" i="10"/>
  <c r="I17" i="10"/>
  <c r="G17" i="10"/>
  <c r="D17" i="10"/>
  <c r="H17" i="10"/>
  <c r="F17" i="10"/>
  <c r="D20" i="21" l="1"/>
  <c r="C20" i="21"/>
  <c r="E18" i="21"/>
  <c r="F20" i="21"/>
  <c r="G20" i="21"/>
  <c r="H20" i="21"/>
  <c r="I20" i="21"/>
  <c r="J20" i="21"/>
  <c r="K20" i="21"/>
  <c r="L20" i="21"/>
  <c r="M20" i="21"/>
  <c r="N20" i="21"/>
  <c r="O20" i="21"/>
  <c r="F18" i="21"/>
  <c r="G18" i="21"/>
  <c r="H18" i="21"/>
  <c r="I18" i="21"/>
  <c r="J18" i="21"/>
  <c r="K18" i="21"/>
  <c r="L18" i="21"/>
  <c r="M18" i="21"/>
  <c r="N18" i="21"/>
  <c r="O18" i="21"/>
  <c r="C4" i="42" l="1"/>
  <c r="D4" i="42"/>
  <c r="E4" i="42"/>
  <c r="C5" i="42"/>
  <c r="D5" i="42"/>
  <c r="E5" i="42"/>
  <c r="C6" i="42"/>
  <c r="D6" i="42"/>
  <c r="E6" i="42"/>
  <c r="C7" i="42"/>
  <c r="D7" i="42"/>
  <c r="E7" i="42"/>
  <c r="C8" i="42"/>
  <c r="D8" i="42"/>
  <c r="E8" i="42"/>
  <c r="C9" i="42"/>
  <c r="D9" i="42"/>
  <c r="E9" i="42"/>
  <c r="C10" i="42"/>
  <c r="C11" i="42"/>
  <c r="D11" i="42"/>
  <c r="E11" i="42"/>
  <c r="D3" i="23"/>
  <c r="E3" i="23"/>
  <c r="F3" i="23"/>
  <c r="G3" i="23"/>
  <c r="H3" i="23"/>
  <c r="D4" i="23"/>
  <c r="E4" i="23"/>
  <c r="F4" i="23"/>
  <c r="G4" i="23"/>
  <c r="H4" i="23"/>
  <c r="D5" i="23"/>
  <c r="E5" i="23"/>
  <c r="F5" i="23"/>
  <c r="G5" i="23"/>
  <c r="H5" i="23"/>
  <c r="C4" i="23"/>
  <c r="C5" i="23"/>
  <c r="C3" i="23"/>
  <c r="E13" i="43"/>
  <c r="G13" i="43"/>
  <c r="I13" i="43"/>
  <c r="J13" i="43"/>
  <c r="K13" i="43"/>
  <c r="L13" i="43"/>
  <c r="M13" i="43"/>
  <c r="C25" i="21"/>
  <c r="C53" i="21" s="1"/>
  <c r="C9" i="23" l="1"/>
  <c r="C16" i="23" s="1"/>
  <c r="I11" i="42"/>
  <c r="E12" i="42"/>
  <c r="C12" i="42"/>
  <c r="C14" i="42" s="1"/>
  <c r="C29" i="42"/>
  <c r="H29" i="42"/>
  <c r="G29" i="42"/>
  <c r="F29" i="42"/>
  <c r="D29" i="42"/>
  <c r="E29" i="42"/>
  <c r="D12" i="42"/>
  <c r="E17" i="43"/>
  <c r="F17" i="43"/>
  <c r="G17" i="43"/>
  <c r="H17" i="43"/>
  <c r="I17" i="43"/>
  <c r="I19" i="43" s="1"/>
  <c r="I20" i="43" s="1"/>
  <c r="J17" i="43"/>
  <c r="J19" i="43" s="1"/>
  <c r="J20" i="43" s="1"/>
  <c r="K17" i="43"/>
  <c r="K19" i="43" s="1"/>
  <c r="K20" i="43" s="1"/>
  <c r="L17" i="43"/>
  <c r="L19" i="43" s="1"/>
  <c r="L20" i="43" s="1"/>
  <c r="M17" i="43"/>
  <c r="M19" i="43" s="1"/>
  <c r="M20" i="43" s="1"/>
  <c r="N17" i="43"/>
  <c r="N19" i="43" s="1"/>
  <c r="N20" i="43" s="1"/>
  <c r="C7" i="43"/>
  <c r="B7" i="43"/>
  <c r="B13" i="43" s="1"/>
  <c r="B353" i="57" l="1"/>
  <c r="B19" i="43"/>
  <c r="B20" i="43" s="1"/>
  <c r="G30" i="42"/>
  <c r="E30" i="42"/>
  <c r="H30" i="42"/>
  <c r="D30" i="42"/>
  <c r="F30" i="42"/>
  <c r="C30" i="42"/>
  <c r="E21" i="42"/>
  <c r="E14" i="42"/>
  <c r="D21" i="42"/>
  <c r="C21" i="42"/>
  <c r="D14" i="42"/>
  <c r="C13" i="43"/>
  <c r="C19" i="43" l="1"/>
  <c r="C20" i="43" s="1"/>
  <c r="H19" i="43" l="1"/>
  <c r="H20" i="43" s="1"/>
  <c r="G19" i="43"/>
  <c r="G20" i="43" s="1"/>
  <c r="F19" i="43"/>
  <c r="F20" i="43" s="1"/>
  <c r="E19" i="43"/>
  <c r="E20" i="43" s="1"/>
  <c r="D17" i="43"/>
  <c r="D19" i="43" s="1"/>
  <c r="D20" i="43" s="1"/>
  <c r="T4" i="41"/>
  <c r="T5" i="41"/>
  <c r="T6" i="41"/>
  <c r="T7" i="41"/>
  <c r="T8" i="41"/>
  <c r="T9" i="41"/>
  <c r="T10" i="41"/>
  <c r="T11" i="41"/>
  <c r="T12" i="41"/>
  <c r="T13" i="41"/>
  <c r="T14" i="41"/>
  <c r="T15" i="41"/>
  <c r="T3" i="41"/>
  <c r="D6" i="21" l="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D4" i="21"/>
  <c r="E4" i="21" s="1"/>
  <c r="D5" i="21"/>
  <c r="D23" i="21" s="1"/>
  <c r="D51" i="21" s="1"/>
  <c r="D8" i="21"/>
  <c r="E8" i="21" s="1"/>
  <c r="F8" i="21" s="1"/>
  <c r="G8" i="21" s="1"/>
  <c r="H8" i="21" s="1"/>
  <c r="I8" i="21" s="1"/>
  <c r="J8" i="21" s="1"/>
  <c r="K8" i="21" s="1"/>
  <c r="L8" i="21" s="1"/>
  <c r="M8" i="21" s="1"/>
  <c r="N8" i="21" s="1"/>
  <c r="O8" i="21" s="1"/>
  <c r="D10" i="21"/>
  <c r="E10" i="21" s="1"/>
  <c r="F10" i="21" s="1"/>
  <c r="G10" i="21" s="1"/>
  <c r="H10" i="21" s="1"/>
  <c r="I10" i="21" s="1"/>
  <c r="J10" i="21" s="1"/>
  <c r="K10" i="21" s="1"/>
  <c r="L10" i="21" s="1"/>
  <c r="N10" i="21" s="1"/>
  <c r="O10" i="21" s="1"/>
  <c r="D13" i="21"/>
  <c r="E13" i="21" s="1"/>
  <c r="F13" i="21" s="1"/>
  <c r="G13" i="21" s="1"/>
  <c r="H13" i="21" s="1"/>
  <c r="I13" i="21" s="1"/>
  <c r="J13" i="21" s="1"/>
  <c r="K13" i="21" s="1"/>
  <c r="L13" i="21" s="1"/>
  <c r="M13" i="21" s="1"/>
  <c r="N13" i="21" s="1"/>
  <c r="O13" i="21" s="1"/>
  <c r="D11" i="21"/>
  <c r="E11" i="21" s="1"/>
  <c r="F11" i="21" s="1"/>
  <c r="G11" i="21" s="1"/>
  <c r="H11" i="21" s="1"/>
  <c r="I11" i="21" s="1"/>
  <c r="J11" i="21" s="1"/>
  <c r="K11" i="21" s="1"/>
  <c r="L11" i="21" s="1"/>
  <c r="M11" i="21" s="1"/>
  <c r="N11" i="21" s="1"/>
  <c r="O11" i="21" s="1"/>
  <c r="D7" i="21"/>
  <c r="D12" i="21"/>
  <c r="E12" i="21" s="1"/>
  <c r="F12" i="21" s="1"/>
  <c r="G12" i="21" s="1"/>
  <c r="H12" i="21" s="1"/>
  <c r="I12" i="21" s="1"/>
  <c r="J12" i="21" s="1"/>
  <c r="K12" i="21" s="1"/>
  <c r="L12" i="21" s="1"/>
  <c r="M12" i="21" s="1"/>
  <c r="N12" i="21" s="1"/>
  <c r="O12" i="21" s="1"/>
  <c r="D9" i="21"/>
  <c r="E9" i="21" s="1"/>
  <c r="F9" i="21" s="1"/>
  <c r="G9" i="21" s="1"/>
  <c r="H9" i="21" s="1"/>
  <c r="I9" i="21" s="1"/>
  <c r="J9" i="21" s="1"/>
  <c r="K9" i="21" s="1"/>
  <c r="L9" i="21" s="1"/>
  <c r="M9" i="21" s="1"/>
  <c r="N9" i="21" s="1"/>
  <c r="O9" i="21" s="1"/>
  <c r="C24" i="21"/>
  <c r="C52" i="21" s="1"/>
  <c r="C22" i="21"/>
  <c r="C50" i="21" s="1"/>
  <c r="C23" i="21"/>
  <c r="F19" i="42"/>
  <c r="D22" i="93" s="1"/>
  <c r="F18" i="42"/>
  <c r="D19" i="93" s="1"/>
  <c r="G16" i="41"/>
  <c r="H17" i="41" s="1"/>
  <c r="U16" i="41"/>
  <c r="O17" i="41"/>
  <c r="U17" i="41" s="1"/>
  <c r="O4" i="41"/>
  <c r="U4" i="41" s="1"/>
  <c r="O5" i="41"/>
  <c r="U5" i="41" s="1"/>
  <c r="O6" i="41"/>
  <c r="U6" i="41" s="1"/>
  <c r="O7" i="41"/>
  <c r="U7" i="41" s="1"/>
  <c r="O8" i="41"/>
  <c r="U8" i="41" s="1"/>
  <c r="O9" i="41"/>
  <c r="U9" i="41" s="1"/>
  <c r="O10" i="41"/>
  <c r="U10" i="41" s="1"/>
  <c r="O11" i="41"/>
  <c r="U11" i="41" s="1"/>
  <c r="O12" i="41"/>
  <c r="U12" i="41" s="1"/>
  <c r="O13" i="41"/>
  <c r="U13" i="41" s="1"/>
  <c r="O14" i="41"/>
  <c r="U14" i="41" s="1"/>
  <c r="O15" i="41"/>
  <c r="U15" i="41" s="1"/>
  <c r="O3" i="41"/>
  <c r="U3" i="41" s="1"/>
  <c r="G19" i="42" l="1"/>
  <c r="E22" i="93" s="1"/>
  <c r="G18" i="42"/>
  <c r="H18" i="42"/>
  <c r="F19" i="93" s="1"/>
  <c r="H19" i="42"/>
  <c r="F4" i="21"/>
  <c r="G4" i="21" s="1"/>
  <c r="H4" i="21" s="1"/>
  <c r="I4" i="21" s="1"/>
  <c r="J4" i="21" s="1"/>
  <c r="K4" i="21" s="1"/>
  <c r="L4" i="21" s="1"/>
  <c r="M4" i="21" s="1"/>
  <c r="N4" i="21" s="1"/>
  <c r="O4" i="21" s="1"/>
  <c r="E22" i="21"/>
  <c r="I16" i="42"/>
  <c r="I17" i="42"/>
  <c r="C51" i="21"/>
  <c r="D14" i="21"/>
  <c r="E7" i="21"/>
  <c r="D25" i="21"/>
  <c r="D53" i="21" s="1"/>
  <c r="E5" i="21"/>
  <c r="C26" i="21"/>
  <c r="C54" i="21" s="1"/>
  <c r="I19" i="42" l="1"/>
  <c r="F22" i="93"/>
  <c r="I18" i="42"/>
  <c r="E19" i="93"/>
  <c r="F5" i="21"/>
  <c r="G5" i="21" s="1"/>
  <c r="H5" i="21" s="1"/>
  <c r="I5" i="21" s="1"/>
  <c r="J5" i="21" s="1"/>
  <c r="K5" i="21" s="1"/>
  <c r="L5" i="21" s="1"/>
  <c r="M5" i="21" s="1"/>
  <c r="N5" i="21" s="1"/>
  <c r="O5" i="21" s="1"/>
  <c r="E23" i="21"/>
  <c r="E14" i="21"/>
  <c r="F7" i="21"/>
  <c r="E25" i="21"/>
  <c r="E53" i="21" s="1"/>
  <c r="C109" i="57" s="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F14" i="21" l="1"/>
  <c r="G7" i="21"/>
  <c r="F25" i="21"/>
  <c r="F53" i="21" s="1"/>
  <c r="D109" i="57" s="1"/>
  <c r="H16" i="41"/>
  <c r="H6" i="41"/>
  <c r="H7" i="41"/>
  <c r="H9" i="41"/>
  <c r="H14" i="41"/>
  <c r="H10" i="41"/>
  <c r="H15" i="41"/>
  <c r="H4" i="41"/>
  <c r="H8" i="41"/>
  <c r="H11" i="41"/>
  <c r="H12" i="41"/>
  <c r="H13" i="41"/>
  <c r="H5" i="41"/>
  <c r="G14" i="21" l="1"/>
  <c r="H7" i="21"/>
  <c r="G25" i="21"/>
  <c r="G53" i="21" s="1"/>
  <c r="E109" i="57" s="1"/>
  <c r="H14" i="21" l="1"/>
  <c r="I7" i="21"/>
  <c r="H25" i="21"/>
  <c r="H53" i="21" s="1"/>
  <c r="F109" i="57" s="1"/>
  <c r="I14" i="21" l="1"/>
  <c r="J7" i="21"/>
  <c r="I25" i="21"/>
  <c r="I53" i="21" s="1"/>
  <c r="G109" i="57" s="1"/>
  <c r="J14" i="21" l="1"/>
  <c r="K7" i="21"/>
  <c r="J25" i="21"/>
  <c r="J53" i="21" s="1"/>
  <c r="H109" i="57" s="1"/>
  <c r="K14" i="21" l="1"/>
  <c r="L7" i="21"/>
  <c r="K25" i="21"/>
  <c r="K53" i="21" s="1"/>
  <c r="L14" i="21" l="1"/>
  <c r="M7" i="21"/>
  <c r="L25" i="21"/>
  <c r="L53" i="21" s="1"/>
  <c r="M14" i="21" l="1"/>
  <c r="G24" i="20"/>
  <c r="I24" i="20"/>
  <c r="E24" i="20"/>
  <c r="H24" i="20"/>
  <c r="F24" i="20"/>
  <c r="J24" i="20"/>
  <c r="N7" i="21"/>
  <c r="M25" i="21"/>
  <c r="M53" i="21" s="1"/>
  <c r="D24" i="20" l="1"/>
  <c r="C11" i="10"/>
  <c r="N14" i="21"/>
  <c r="N24" i="20"/>
  <c r="K24" i="20"/>
  <c r="K26" i="20" s="1"/>
  <c r="L24" i="20"/>
  <c r="M24" i="20"/>
  <c r="O24" i="20"/>
  <c r="O7" i="21"/>
  <c r="N25" i="21"/>
  <c r="N53" i="21" s="1"/>
  <c r="C26" i="10" l="1"/>
  <c r="C28" i="10" s="1"/>
  <c r="C13" i="10"/>
  <c r="O25" i="21"/>
  <c r="O53" i="21" s="1"/>
  <c r="O14" i="21"/>
  <c r="L26" i="20"/>
  <c r="N26" i="20"/>
  <c r="O26" i="20"/>
  <c r="M26" i="20"/>
  <c r="C19" i="10" l="1"/>
  <c r="C20" i="10"/>
  <c r="C38" i="10"/>
  <c r="C36" i="10"/>
  <c r="C39" i="10" s="1"/>
  <c r="O33" i="20"/>
  <c r="M33" i="20"/>
  <c r="L33" i="20"/>
  <c r="K33" i="20"/>
  <c r="N33" i="20"/>
  <c r="K32" i="20"/>
  <c r="K35" i="20"/>
  <c r="K31" i="20"/>
  <c r="K34" i="20"/>
  <c r="M32" i="20"/>
  <c r="M35" i="20"/>
  <c r="M31" i="20"/>
  <c r="M34" i="20"/>
  <c r="L32" i="20"/>
  <c r="L35" i="20"/>
  <c r="L31" i="20"/>
  <c r="L34" i="20"/>
  <c r="O35" i="20"/>
  <c r="O31" i="20"/>
  <c r="O32" i="20"/>
  <c r="O34" i="20"/>
  <c r="N32" i="20"/>
  <c r="N35" i="20"/>
  <c r="N31" i="20"/>
  <c r="N34" i="20"/>
  <c r="F22" i="59"/>
  <c r="E11" i="10"/>
  <c r="O22" i="59"/>
  <c r="J22" i="59"/>
  <c r="I11" i="10"/>
  <c r="I22" i="59"/>
  <c r="H11" i="10"/>
  <c r="G22" i="59"/>
  <c r="F11" i="10"/>
  <c r="M22" i="59"/>
  <c r="E22" i="59"/>
  <c r="D11" i="10"/>
  <c r="K22" i="59"/>
  <c r="N22" i="59"/>
  <c r="L22" i="59"/>
  <c r="H22" i="59"/>
  <c r="G11" i="10"/>
  <c r="C46" i="10" l="1"/>
  <c r="C42" i="10"/>
  <c r="C43" i="10" s="1"/>
  <c r="C29" i="10" s="1"/>
  <c r="D27" i="20" s="1"/>
  <c r="C35" i="10"/>
  <c r="C47" i="10" s="1"/>
  <c r="C21" i="10"/>
  <c r="D26" i="10"/>
  <c r="F26" i="10"/>
  <c r="F13" i="10"/>
  <c r="G26" i="10"/>
  <c r="G13" i="10"/>
  <c r="I26" i="10"/>
  <c r="I13" i="10"/>
  <c r="I20" i="10" s="1"/>
  <c r="E26" i="10"/>
  <c r="E13" i="10"/>
  <c r="E19" i="10" s="1"/>
  <c r="D13" i="10"/>
  <c r="D19" i="10" s="1"/>
  <c r="D35" i="10" s="1"/>
  <c r="B278" i="57" s="1"/>
  <c r="H26" i="10"/>
  <c r="H13" i="10"/>
  <c r="F42" i="57"/>
  <c r="F46" i="57" s="1"/>
  <c r="F51" i="57" s="1"/>
  <c r="G42" i="57"/>
  <c r="G46" i="57" s="1"/>
  <c r="G51" i="57" s="1"/>
  <c r="D42" i="57"/>
  <c r="H42" i="57"/>
  <c r="H46" i="57" s="1"/>
  <c r="H51" i="57" s="1"/>
  <c r="E42" i="57"/>
  <c r="E46" i="57" s="1"/>
  <c r="E51" i="57" s="1"/>
  <c r="C42" i="57"/>
  <c r="C46" i="57" s="1"/>
  <c r="C51" i="57" s="1"/>
  <c r="I42" i="57" l="1"/>
  <c r="C48" i="10"/>
  <c r="B30" i="93"/>
  <c r="C49" i="57"/>
  <c r="B348" i="57" s="1"/>
  <c r="D46" i="57"/>
  <c r="I46" i="57" s="1"/>
  <c r="D28" i="10"/>
  <c r="D10" i="88" s="1"/>
  <c r="C10" i="88" l="1"/>
  <c r="B10" i="88"/>
  <c r="B12" i="88" s="1"/>
  <c r="D51" i="57"/>
  <c r="I51" i="57" s="1"/>
  <c r="D12" i="88"/>
  <c r="D283" i="57" s="1"/>
  <c r="C12" i="88"/>
  <c r="B283" i="57" s="1"/>
  <c r="D36" i="10"/>
  <c r="D13" i="42"/>
  <c r="E13" i="42"/>
  <c r="C31" i="21"/>
  <c r="C59" i="21" s="1"/>
  <c r="C11" i="76" l="1"/>
  <c r="C283" i="57"/>
  <c r="B11" i="76"/>
  <c r="B340" i="57" s="1"/>
  <c r="D11" i="76"/>
  <c r="D340" i="57" s="1"/>
  <c r="C6" i="93"/>
  <c r="D31" i="93"/>
  <c r="D104" i="93"/>
  <c r="C60" i="93"/>
  <c r="B60" i="93"/>
  <c r="B6" i="93"/>
  <c r="C31" i="93"/>
  <c r="C104" i="93"/>
  <c r="D33" i="42"/>
  <c r="E33" i="42"/>
  <c r="D24" i="42"/>
  <c r="D25" i="42" s="1"/>
  <c r="B13" i="93" s="1"/>
  <c r="D30" i="21"/>
  <c r="E24" i="42"/>
  <c r="E25" i="42" s="1"/>
  <c r="C13" i="93" s="1"/>
  <c r="E22" i="42"/>
  <c r="C13" i="42"/>
  <c r="C27" i="21"/>
  <c r="C55" i="21" s="1"/>
  <c r="C29" i="21"/>
  <c r="C57" i="21" s="1"/>
  <c r="C30" i="21"/>
  <c r="C58" i="21" s="1"/>
  <c r="C28" i="21"/>
  <c r="C56" i="21" s="1"/>
  <c r="D27" i="21"/>
  <c r="D55" i="21" s="1"/>
  <c r="D22" i="21"/>
  <c r="D29" i="21"/>
  <c r="D57" i="21" s="1"/>
  <c r="D26" i="21"/>
  <c r="D24" i="21"/>
  <c r="D28" i="21"/>
  <c r="D56" i="21" s="1"/>
  <c r="E30" i="21"/>
  <c r="E58" i="21" s="1"/>
  <c r="C114" i="57" s="1"/>
  <c r="C11" i="93" l="1"/>
  <c r="C33" i="42"/>
  <c r="B31" i="93"/>
  <c r="B104" i="93"/>
  <c r="C76" i="93"/>
  <c r="C340" i="57"/>
  <c r="E51" i="21"/>
  <c r="D54" i="21"/>
  <c r="D58" i="21"/>
  <c r="D52" i="21"/>
  <c r="D50" i="21"/>
  <c r="D54" i="20" s="1"/>
  <c r="E37" i="42"/>
  <c r="D37" i="42"/>
  <c r="C62" i="21"/>
  <c r="C63" i="21" s="1"/>
  <c r="D22" i="42"/>
  <c r="C24" i="42"/>
  <c r="C25" i="42" s="1"/>
  <c r="D31" i="21"/>
  <c r="C32" i="21"/>
  <c r="E26" i="21"/>
  <c r="F23" i="21"/>
  <c r="E27" i="21"/>
  <c r="E55" i="21" s="1"/>
  <c r="C111" i="57" s="1"/>
  <c r="E28" i="21"/>
  <c r="E56" i="21" s="1"/>
  <c r="C112" i="57" s="1"/>
  <c r="E24" i="21"/>
  <c r="F30" i="21"/>
  <c r="F58" i="21" s="1"/>
  <c r="D114" i="57" s="1"/>
  <c r="E29" i="21"/>
  <c r="E57" i="21" s="1"/>
  <c r="C113" i="57" s="1"/>
  <c r="B11" i="93" l="1"/>
  <c r="C107" i="57"/>
  <c r="F51" i="21"/>
  <c r="E54" i="21"/>
  <c r="E50" i="21"/>
  <c r="E54" i="20" s="1"/>
  <c r="E52" i="21"/>
  <c r="D59" i="21"/>
  <c r="D53" i="20" s="1"/>
  <c r="C37" i="42"/>
  <c r="C22" i="42"/>
  <c r="F31" i="21"/>
  <c r="E31" i="21"/>
  <c r="F24" i="21"/>
  <c r="G23" i="21"/>
  <c r="D32" i="21"/>
  <c r="F29" i="21"/>
  <c r="F57" i="21" s="1"/>
  <c r="D113" i="57" s="1"/>
  <c r="F28" i="21"/>
  <c r="F56" i="21" s="1"/>
  <c r="D112" i="57" s="1"/>
  <c r="F26" i="21"/>
  <c r="G30" i="21"/>
  <c r="G58" i="21" s="1"/>
  <c r="E114" i="57" s="1"/>
  <c r="F22" i="21"/>
  <c r="F27" i="21"/>
  <c r="F55" i="21" s="1"/>
  <c r="D111" i="57" s="1"/>
  <c r="D62" i="21" l="1"/>
  <c r="C110" i="57"/>
  <c r="D107" i="57"/>
  <c r="C106" i="57"/>
  <c r="D56" i="20"/>
  <c r="C108" i="57"/>
  <c r="E59" i="21"/>
  <c r="E53" i="20" s="1"/>
  <c r="F54" i="21"/>
  <c r="F53" i="20" s="1"/>
  <c r="G51" i="21"/>
  <c r="F50" i="21"/>
  <c r="F54" i="20" s="1"/>
  <c r="F59" i="21"/>
  <c r="D115" i="57" s="1"/>
  <c r="G31" i="21"/>
  <c r="D63" i="21"/>
  <c r="D72" i="21" s="1"/>
  <c r="D73" i="21" s="1"/>
  <c r="H30" i="21"/>
  <c r="H58" i="21" s="1"/>
  <c r="F114" i="57" s="1"/>
  <c r="G26" i="21"/>
  <c r="G28" i="21"/>
  <c r="G56" i="21" s="1"/>
  <c r="E112" i="57" s="1"/>
  <c r="G29" i="21"/>
  <c r="G57" i="21" s="1"/>
  <c r="E113" i="57" s="1"/>
  <c r="H23" i="21"/>
  <c r="G27" i="21"/>
  <c r="G55" i="21" s="1"/>
  <c r="E111" i="57" s="1"/>
  <c r="H31" i="21"/>
  <c r="H59" i="21" s="1"/>
  <c r="F115" i="57" s="1"/>
  <c r="G22" i="21"/>
  <c r="G24" i="21"/>
  <c r="E32" i="21"/>
  <c r="D108" i="57" l="1"/>
  <c r="E107" i="57"/>
  <c r="D110" i="57"/>
  <c r="C115" i="57"/>
  <c r="E62" i="21"/>
  <c r="E63" i="21" s="1"/>
  <c r="D106" i="57"/>
  <c r="H51" i="21"/>
  <c r="G59" i="21"/>
  <c r="G50" i="21"/>
  <c r="G54" i="20" s="1"/>
  <c r="G54" i="21"/>
  <c r="G53" i="20" s="1"/>
  <c r="G52" i="21"/>
  <c r="F62" i="21"/>
  <c r="F63" i="21" s="1"/>
  <c r="D67" i="21"/>
  <c r="D68" i="21" s="1"/>
  <c r="I23" i="21"/>
  <c r="H27" i="21"/>
  <c r="H55" i="21" s="1"/>
  <c r="F111" i="57" s="1"/>
  <c r="H28" i="21"/>
  <c r="H56" i="21" s="1"/>
  <c r="F112" i="57" s="1"/>
  <c r="H22" i="21"/>
  <c r="I31" i="21"/>
  <c r="I59" i="21" s="1"/>
  <c r="G115" i="57" s="1"/>
  <c r="H29" i="21"/>
  <c r="H57" i="21" s="1"/>
  <c r="F113" i="57" s="1"/>
  <c r="H26" i="21"/>
  <c r="F32" i="21"/>
  <c r="H24" i="21"/>
  <c r="I30" i="21"/>
  <c r="I58" i="21" s="1"/>
  <c r="G114" i="57" s="1"/>
  <c r="E72" i="21" l="1"/>
  <c r="E73" i="21" s="1"/>
  <c r="B32" i="93"/>
  <c r="B33" i="93" s="1"/>
  <c r="C116" i="57"/>
  <c r="C119" i="57" s="1"/>
  <c r="C32" i="42"/>
  <c r="D116" i="57"/>
  <c r="D119" i="57" s="1"/>
  <c r="E110" i="57"/>
  <c r="E108" i="57"/>
  <c r="E67" i="21"/>
  <c r="E68" i="21" s="1"/>
  <c r="E106" i="57"/>
  <c r="E115" i="57"/>
  <c r="C11" i="23"/>
  <c r="C18" i="23" s="1"/>
  <c r="B355" i="57" s="1"/>
  <c r="E56" i="20"/>
  <c r="F107" i="57"/>
  <c r="H50" i="21"/>
  <c r="H54" i="20" s="1"/>
  <c r="I51" i="21"/>
  <c r="H52" i="21"/>
  <c r="H54" i="21"/>
  <c r="H53" i="20" s="1"/>
  <c r="F56" i="20"/>
  <c r="G62" i="21"/>
  <c r="D11" i="23"/>
  <c r="D18" i="23" s="1"/>
  <c r="C355" i="57" s="1"/>
  <c r="I24" i="21"/>
  <c r="I26" i="21"/>
  <c r="I22" i="21"/>
  <c r="I28" i="21"/>
  <c r="I56" i="21" s="1"/>
  <c r="G112" i="57" s="1"/>
  <c r="G32" i="21"/>
  <c r="I29" i="21"/>
  <c r="I57" i="21" s="1"/>
  <c r="G113" i="57" s="1"/>
  <c r="I27" i="21"/>
  <c r="I55" i="21" s="1"/>
  <c r="G111" i="57" s="1"/>
  <c r="J30" i="21"/>
  <c r="J58" i="21" s="1"/>
  <c r="H114" i="57" s="1"/>
  <c r="J31" i="21"/>
  <c r="J59" i="21" s="1"/>
  <c r="H115" i="57" s="1"/>
  <c r="J23" i="21"/>
  <c r="F72" i="21" l="1"/>
  <c r="F73" i="21" s="1"/>
  <c r="C32" i="93"/>
  <c r="C34" i="42"/>
  <c r="C118" i="57"/>
  <c r="G107" i="57"/>
  <c r="D118" i="57"/>
  <c r="F106" i="57"/>
  <c r="F110" i="57"/>
  <c r="F108" i="57"/>
  <c r="E116" i="57"/>
  <c r="E119" i="57" s="1"/>
  <c r="B7" i="76"/>
  <c r="B336" i="57" s="1"/>
  <c r="I50" i="21"/>
  <c r="I54" i="20" s="1"/>
  <c r="J51" i="21"/>
  <c r="I54" i="21"/>
  <c r="I53" i="20" s="1"/>
  <c r="I52" i="21"/>
  <c r="D32" i="42"/>
  <c r="F67" i="21"/>
  <c r="F68" i="21" s="1"/>
  <c r="G56" i="20"/>
  <c r="G63" i="21"/>
  <c r="H62" i="21"/>
  <c r="E11" i="23"/>
  <c r="E18" i="23" s="1"/>
  <c r="D355" i="57" s="1"/>
  <c r="E355" i="57" s="1"/>
  <c r="H32" i="21"/>
  <c r="K31" i="21"/>
  <c r="K59" i="21" s="1"/>
  <c r="K30" i="21"/>
  <c r="K58" i="21" s="1"/>
  <c r="J28" i="21"/>
  <c r="J56" i="21" s="1"/>
  <c r="H112" i="57" s="1"/>
  <c r="J22" i="21"/>
  <c r="J26" i="21"/>
  <c r="J27" i="21"/>
  <c r="J55" i="21" s="1"/>
  <c r="H111" i="57" s="1"/>
  <c r="K23" i="21"/>
  <c r="J29" i="21"/>
  <c r="J57" i="21" s="1"/>
  <c r="H113" i="57" s="1"/>
  <c r="J24" i="21"/>
  <c r="G72" i="21" l="1"/>
  <c r="G73" i="21" s="1"/>
  <c r="D32" i="93"/>
  <c r="C38" i="42"/>
  <c r="F116" i="57"/>
  <c r="F119" i="57" s="1"/>
  <c r="G110" i="57"/>
  <c r="G106" i="57"/>
  <c r="G108" i="57"/>
  <c r="E118" i="57"/>
  <c r="H107" i="57"/>
  <c r="D7" i="76"/>
  <c r="D336" i="57" s="1"/>
  <c r="J50" i="21"/>
  <c r="J54" i="20" s="1"/>
  <c r="K51" i="21"/>
  <c r="J52" i="21"/>
  <c r="J54" i="21"/>
  <c r="J53" i="20" s="1"/>
  <c r="C7" i="76"/>
  <c r="E32" i="42"/>
  <c r="G67" i="21"/>
  <c r="G68" i="21" s="1"/>
  <c r="D36" i="42"/>
  <c r="D34" i="42"/>
  <c r="D38" i="42" s="1"/>
  <c r="H56" i="20"/>
  <c r="I62" i="21"/>
  <c r="H63" i="21"/>
  <c r="F8" i="42"/>
  <c r="F11" i="23"/>
  <c r="F18" i="23" s="1"/>
  <c r="L23" i="21"/>
  <c r="K29" i="21"/>
  <c r="K57" i="21" s="1"/>
  <c r="K26" i="21"/>
  <c r="K54" i="21" s="1"/>
  <c r="K22" i="21"/>
  <c r="K50" i="21" s="1"/>
  <c r="K28" i="21"/>
  <c r="K56" i="21" s="1"/>
  <c r="K27" i="21"/>
  <c r="K55" i="21" s="1"/>
  <c r="I32" i="21"/>
  <c r="L30" i="21"/>
  <c r="L58" i="21" s="1"/>
  <c r="L31" i="21"/>
  <c r="L59" i="21" s="1"/>
  <c r="K24" i="21"/>
  <c r="K52" i="21" s="1"/>
  <c r="H72" i="21" l="1"/>
  <c r="H73" i="21" s="1"/>
  <c r="D132" i="93"/>
  <c r="E32" i="93"/>
  <c r="C74" i="93"/>
  <c r="C336" i="57"/>
  <c r="K53" i="20"/>
  <c r="K54" i="20"/>
  <c r="H106" i="57"/>
  <c r="H110" i="57"/>
  <c r="F118" i="57"/>
  <c r="H108" i="57"/>
  <c r="G116" i="57"/>
  <c r="G119" i="57" s="1"/>
  <c r="F7" i="76"/>
  <c r="L51" i="21"/>
  <c r="F32" i="42"/>
  <c r="F36" i="42" s="1"/>
  <c r="E36" i="42"/>
  <c r="E34" i="42"/>
  <c r="E38" i="42" s="1"/>
  <c r="I56" i="20"/>
  <c r="J62" i="21"/>
  <c r="H67" i="21"/>
  <c r="H68" i="21" s="1"/>
  <c r="I63" i="21"/>
  <c r="G8" i="42"/>
  <c r="G11" i="23"/>
  <c r="G18" i="23" s="1"/>
  <c r="M31" i="21"/>
  <c r="M59" i="21" s="1"/>
  <c r="L22" i="21"/>
  <c r="L50" i="21" s="1"/>
  <c r="L54" i="20" s="1"/>
  <c r="M30" i="21"/>
  <c r="M58" i="21" s="1"/>
  <c r="L26" i="21"/>
  <c r="L54" i="21" s="1"/>
  <c r="L27" i="21"/>
  <c r="L55" i="21" s="1"/>
  <c r="L29" i="21"/>
  <c r="L57" i="21" s="1"/>
  <c r="L28" i="21"/>
  <c r="L56" i="21" s="1"/>
  <c r="M23" i="21"/>
  <c r="J32" i="21"/>
  <c r="L24" i="21"/>
  <c r="L52" i="21" s="1"/>
  <c r="I72" i="21" l="1"/>
  <c r="I73" i="21" s="1"/>
  <c r="E132" i="93"/>
  <c r="F32" i="93"/>
  <c r="L53" i="20"/>
  <c r="H116" i="57"/>
  <c r="H119" i="57" s="1"/>
  <c r="G118" i="57"/>
  <c r="M51" i="21"/>
  <c r="G32" i="42"/>
  <c r="J56" i="20"/>
  <c r="K62" i="21"/>
  <c r="I67" i="21"/>
  <c r="I68" i="21" s="1"/>
  <c r="J63" i="21"/>
  <c r="H8" i="42"/>
  <c r="I8" i="42" s="1"/>
  <c r="H11" i="23"/>
  <c r="H18" i="23" s="1"/>
  <c r="M24" i="21"/>
  <c r="M52" i="21" s="1"/>
  <c r="M27" i="21"/>
  <c r="M55" i="21" s="1"/>
  <c r="N23" i="21"/>
  <c r="M26" i="21"/>
  <c r="M54" i="21" s="1"/>
  <c r="M28" i="21"/>
  <c r="M56" i="21" s="1"/>
  <c r="N30" i="21"/>
  <c r="N58" i="21" s="1"/>
  <c r="K32" i="21"/>
  <c r="M22" i="21"/>
  <c r="M50" i="21" s="1"/>
  <c r="M29" i="21"/>
  <c r="M57" i="21" s="1"/>
  <c r="N31" i="21"/>
  <c r="N59" i="21" s="1"/>
  <c r="J72" i="21" l="1"/>
  <c r="J73" i="21" s="1"/>
  <c r="F132" i="93"/>
  <c r="G32" i="93"/>
  <c r="M53" i="20"/>
  <c r="M54" i="20"/>
  <c r="H118" i="57"/>
  <c r="N51" i="21"/>
  <c r="H32" i="42"/>
  <c r="G36" i="42"/>
  <c r="L62" i="21"/>
  <c r="J67" i="21"/>
  <c r="J68" i="21" s="1"/>
  <c r="K63" i="21"/>
  <c r="K72" i="21" s="1"/>
  <c r="K73" i="21" s="1"/>
  <c r="N28" i="21"/>
  <c r="N56" i="21" s="1"/>
  <c r="N29" i="21"/>
  <c r="N57" i="21" s="1"/>
  <c r="N26" i="21"/>
  <c r="N54" i="21" s="1"/>
  <c r="L32" i="21"/>
  <c r="N22" i="21"/>
  <c r="N50" i="21" s="1"/>
  <c r="O23" i="21"/>
  <c r="N27" i="21"/>
  <c r="N55" i="21" s="1"/>
  <c r="N24" i="21"/>
  <c r="N52" i="21" s="1"/>
  <c r="N53" i="20" l="1"/>
  <c r="N54" i="20"/>
  <c r="H36" i="42"/>
  <c r="O51" i="21"/>
  <c r="K56" i="20"/>
  <c r="M62" i="21"/>
  <c r="K67" i="21"/>
  <c r="K68" i="21" s="1"/>
  <c r="O30" i="21"/>
  <c r="O58" i="21" s="1"/>
  <c r="O31" i="21"/>
  <c r="O59" i="21" s="1"/>
  <c r="L63" i="21"/>
  <c r="L72" i="21" s="1"/>
  <c r="L73" i="21" s="1"/>
  <c r="O26" i="21"/>
  <c r="O54" i="21" s="1"/>
  <c r="O22" i="21"/>
  <c r="O50" i="21" s="1"/>
  <c r="O24" i="21"/>
  <c r="O52" i="21" s="1"/>
  <c r="M32" i="21"/>
  <c r="O54" i="20" l="1"/>
  <c r="L56" i="20"/>
  <c r="N62" i="21"/>
  <c r="L67" i="21"/>
  <c r="L68" i="21" s="1"/>
  <c r="O28" i="21"/>
  <c r="O56" i="21" s="1"/>
  <c r="O29" i="21"/>
  <c r="O57" i="21" s="1"/>
  <c r="O27" i="21"/>
  <c r="O55" i="21" s="1"/>
  <c r="M63" i="21"/>
  <c r="M72" i="21" s="1"/>
  <c r="M73" i="21" s="1"/>
  <c r="N32" i="21"/>
  <c r="O53" i="20" l="1"/>
  <c r="M56" i="20"/>
  <c r="O62" i="21"/>
  <c r="O32" i="21"/>
  <c r="M67" i="21"/>
  <c r="M68" i="21" s="1"/>
  <c r="N63" i="21"/>
  <c r="N72" i="21" s="1"/>
  <c r="N73" i="21" s="1"/>
  <c r="N56" i="20" l="1"/>
  <c r="N67" i="21"/>
  <c r="N68" i="21" s="1"/>
  <c r="O63" i="21"/>
  <c r="O72" i="21" s="1"/>
  <c r="O73" i="21" s="1"/>
  <c r="O56" i="20" l="1"/>
  <c r="O67" i="21"/>
  <c r="O68" i="21" s="1"/>
  <c r="H4" i="42"/>
  <c r="F128" i="93" l="1"/>
  <c r="G19" i="10"/>
  <c r="G4" i="42"/>
  <c r="E128" i="93" s="1"/>
  <c r="I28" i="10"/>
  <c r="F28" i="10"/>
  <c r="H28" i="10"/>
  <c r="G28" i="10"/>
  <c r="H25" i="23" l="1"/>
  <c r="G25" i="23"/>
  <c r="F25" i="23"/>
  <c r="I4" i="42"/>
  <c r="E21" i="10"/>
  <c r="E35" i="10"/>
  <c r="G46" i="10"/>
  <c r="F5" i="42"/>
  <c r="G36" i="10"/>
  <c r="I36" i="10"/>
  <c r="F36" i="10"/>
  <c r="H36" i="10"/>
  <c r="D38" i="10"/>
  <c r="G38" i="10"/>
  <c r="F38" i="10"/>
  <c r="H38" i="10"/>
  <c r="I38" i="10"/>
  <c r="G21" i="10"/>
  <c r="G35" i="10"/>
  <c r="E30" i="93" s="1"/>
  <c r="G20" i="10"/>
  <c r="G26" i="20"/>
  <c r="E28" i="10"/>
  <c r="D29" i="23" s="1"/>
  <c r="I26" i="20"/>
  <c r="D20" i="10"/>
  <c r="E20" i="10"/>
  <c r="H19" i="10"/>
  <c r="H20" i="10"/>
  <c r="I19" i="10"/>
  <c r="I21" i="10" s="1"/>
  <c r="F19" i="10"/>
  <c r="F20" i="10"/>
  <c r="C17" i="23"/>
  <c r="D26" i="20"/>
  <c r="J26" i="20"/>
  <c r="H26" i="20"/>
  <c r="E26" i="20"/>
  <c r="I42" i="10" l="1"/>
  <c r="F29" i="23"/>
  <c r="E29" i="23"/>
  <c r="G29" i="23"/>
  <c r="H29" i="23"/>
  <c r="C30" i="93"/>
  <c r="C33" i="93" s="1"/>
  <c r="D129" i="93"/>
  <c r="B354" i="57"/>
  <c r="C20" i="23"/>
  <c r="D49" i="57"/>
  <c r="F49" i="57"/>
  <c r="F42" i="10"/>
  <c r="D42" i="10"/>
  <c r="D43" i="10" s="1"/>
  <c r="H42" i="10"/>
  <c r="H43" i="10" s="1"/>
  <c r="H29" i="10" s="1"/>
  <c r="I27" i="20" s="1"/>
  <c r="G42" i="10"/>
  <c r="G43" i="10" s="1"/>
  <c r="G29" i="10" s="1"/>
  <c r="G47" i="10"/>
  <c r="I39" i="10"/>
  <c r="G39" i="10"/>
  <c r="D32" i="20"/>
  <c r="D17" i="23"/>
  <c r="C354" i="57" s="1"/>
  <c r="G5" i="42"/>
  <c r="J31" i="20"/>
  <c r="J32" i="20"/>
  <c r="J35" i="20"/>
  <c r="J34" i="20"/>
  <c r="J33" i="20"/>
  <c r="D35" i="20"/>
  <c r="D31" i="20"/>
  <c r="D34" i="20"/>
  <c r="D33" i="20"/>
  <c r="H31" i="20"/>
  <c r="H32" i="20"/>
  <c r="H35" i="20"/>
  <c r="H34" i="20"/>
  <c r="H33" i="20"/>
  <c r="I35" i="20"/>
  <c r="I32" i="20"/>
  <c r="I31" i="20"/>
  <c r="I34" i="20"/>
  <c r="I33" i="20"/>
  <c r="H5" i="42"/>
  <c r="G31" i="20"/>
  <c r="G32" i="20"/>
  <c r="G35" i="20"/>
  <c r="G34" i="20"/>
  <c r="G33" i="20"/>
  <c r="E32" i="20"/>
  <c r="E35" i="20"/>
  <c r="E31" i="20"/>
  <c r="E34" i="20"/>
  <c r="E33" i="20"/>
  <c r="D39" i="10"/>
  <c r="F39" i="10"/>
  <c r="H39" i="10"/>
  <c r="E36" i="10"/>
  <c r="E42" i="10" s="1"/>
  <c r="E38" i="10"/>
  <c r="F9" i="23"/>
  <c r="F16" i="23" s="1"/>
  <c r="F6" i="42"/>
  <c r="D130" i="93" s="1"/>
  <c r="I35" i="10"/>
  <c r="G30" i="93" s="1"/>
  <c r="H21" i="10"/>
  <c r="H35" i="10"/>
  <c r="F30" i="93" s="1"/>
  <c r="D21" i="10"/>
  <c r="F21" i="10"/>
  <c r="F35" i="10"/>
  <c r="D30" i="93" s="1"/>
  <c r="D33" i="93" s="1"/>
  <c r="I46" i="10"/>
  <c r="F26" i="20"/>
  <c r="H17" i="23"/>
  <c r="I43" i="10"/>
  <c r="I29" i="10" s="1"/>
  <c r="J27" i="20" s="1"/>
  <c r="D46" i="10"/>
  <c r="F43" i="10"/>
  <c r="F29" i="10" s="1"/>
  <c r="G27" i="20" s="1"/>
  <c r="F46" i="10"/>
  <c r="E46" i="10"/>
  <c r="H46" i="10"/>
  <c r="F17" i="23"/>
  <c r="G17" i="23"/>
  <c r="E17" i="23"/>
  <c r="D354" i="57" s="1"/>
  <c r="H27" i="20" l="1"/>
  <c r="G10" i="81"/>
  <c r="C348" i="57"/>
  <c r="I9" i="81"/>
  <c r="H9" i="81"/>
  <c r="G9" i="81"/>
  <c r="F129" i="93"/>
  <c r="E129" i="93"/>
  <c r="B357" i="57"/>
  <c r="E354" i="57"/>
  <c r="F47" i="57"/>
  <c r="H47" i="57"/>
  <c r="E47" i="57"/>
  <c r="G47" i="57"/>
  <c r="E49" i="57"/>
  <c r="D348" i="57" s="1"/>
  <c r="G49" i="57"/>
  <c r="H49" i="57"/>
  <c r="F20" i="23"/>
  <c r="D29" i="10"/>
  <c r="I5" i="42"/>
  <c r="I7" i="42"/>
  <c r="E47" i="10"/>
  <c r="H47" i="10"/>
  <c r="D47" i="10"/>
  <c r="I47" i="10"/>
  <c r="F47" i="10"/>
  <c r="I37" i="76"/>
  <c r="H37" i="76"/>
  <c r="F37" i="76"/>
  <c r="C37" i="76"/>
  <c r="G37" i="76"/>
  <c r="G48" i="10"/>
  <c r="N28" i="20"/>
  <c r="N39" i="20" s="1"/>
  <c r="N61" i="20" s="1"/>
  <c r="L28" i="20"/>
  <c r="L38" i="20" s="1"/>
  <c r="O28" i="20"/>
  <c r="M28" i="20"/>
  <c r="D9" i="23"/>
  <c r="D16" i="23" s="1"/>
  <c r="J28" i="20"/>
  <c r="J39" i="20" s="1"/>
  <c r="J61" i="20" s="1"/>
  <c r="E9" i="23"/>
  <c r="E16" i="23" s="1"/>
  <c r="I28" i="20"/>
  <c r="G28" i="20"/>
  <c r="G40" i="20" s="1"/>
  <c r="G62" i="20" s="1"/>
  <c r="H28" i="20"/>
  <c r="H39" i="20" s="1"/>
  <c r="K28" i="20"/>
  <c r="K38" i="20" s="1"/>
  <c r="F32" i="20"/>
  <c r="F35" i="20"/>
  <c r="F31" i="20"/>
  <c r="F34" i="20"/>
  <c r="F33" i="20"/>
  <c r="E43" i="10"/>
  <c r="E29" i="10" s="1"/>
  <c r="E39" i="10"/>
  <c r="G6" i="42"/>
  <c r="E130" i="93" s="1"/>
  <c r="G9" i="23"/>
  <c r="G16" i="23" s="1"/>
  <c r="G20" i="23" s="1"/>
  <c r="H6" i="42"/>
  <c r="F130" i="93" s="1"/>
  <c r="H9" i="23"/>
  <c r="H16" i="23" s="1"/>
  <c r="H20" i="23" s="1"/>
  <c r="I49" i="57" l="1"/>
  <c r="B277" i="57"/>
  <c r="B279" i="57" s="1"/>
  <c r="H296" i="57" s="1"/>
  <c r="H295" i="57" s="1"/>
  <c r="E27" i="20"/>
  <c r="E10" i="81"/>
  <c r="F27" i="20"/>
  <c r="F28" i="20" s="1"/>
  <c r="C10" i="76"/>
  <c r="H48" i="10"/>
  <c r="F10" i="81"/>
  <c r="I10" i="81"/>
  <c r="H10" i="81"/>
  <c r="D37" i="76"/>
  <c r="E28" i="20"/>
  <c r="E38" i="20" s="1"/>
  <c r="E60" i="20" s="1"/>
  <c r="E20" i="23"/>
  <c r="D357" i="57" s="1"/>
  <c r="D353" i="57"/>
  <c r="D47" i="57"/>
  <c r="I47" i="57" s="1"/>
  <c r="D20" i="23"/>
  <c r="C353" i="57"/>
  <c r="C47" i="57"/>
  <c r="D30" i="23"/>
  <c r="D10" i="76"/>
  <c r="D339" i="57" s="1"/>
  <c r="B10" i="76"/>
  <c r="I48" i="10"/>
  <c r="D28" i="20"/>
  <c r="D41" i="20" s="1"/>
  <c r="D63" i="20" s="1"/>
  <c r="I6" i="42"/>
  <c r="F48" i="10"/>
  <c r="D48" i="10"/>
  <c r="E37" i="76"/>
  <c r="K39" i="20"/>
  <c r="K61" i="20" s="1"/>
  <c r="K60" i="20"/>
  <c r="I41" i="20"/>
  <c r="I63" i="20" s="1"/>
  <c r="I38" i="20"/>
  <c r="I60" i="20" s="1"/>
  <c r="N38" i="20"/>
  <c r="N60" i="20" s="1"/>
  <c r="K41" i="20"/>
  <c r="K63" i="20" s="1"/>
  <c r="K40" i="20"/>
  <c r="N41" i="20"/>
  <c r="N63" i="20" s="1"/>
  <c r="N40" i="20"/>
  <c r="N62" i="20" s="1"/>
  <c r="J40" i="20"/>
  <c r="J62" i="20" s="1"/>
  <c r="H61" i="20"/>
  <c r="I39" i="20"/>
  <c r="H38" i="20"/>
  <c r="H60" i="20" s="1"/>
  <c r="H40" i="20"/>
  <c r="G39" i="20"/>
  <c r="J38" i="20"/>
  <c r="J60" i="20" s="1"/>
  <c r="H41" i="20"/>
  <c r="J41" i="20"/>
  <c r="J63" i="20" s="1"/>
  <c r="G41" i="20"/>
  <c r="G63" i="20" s="1"/>
  <c r="G38" i="20"/>
  <c r="G60" i="20" s="1"/>
  <c r="I40" i="20"/>
  <c r="M38" i="20"/>
  <c r="M60" i="20" s="1"/>
  <c r="M39" i="20"/>
  <c r="M61" i="20" s="1"/>
  <c r="M41" i="20"/>
  <c r="M40" i="20"/>
  <c r="M62" i="20" s="1"/>
  <c r="O41" i="20"/>
  <c r="O38" i="20"/>
  <c r="O60" i="20" s="1"/>
  <c r="O39" i="20"/>
  <c r="O61" i="20" s="1"/>
  <c r="O40" i="20"/>
  <c r="O62" i="20" s="1"/>
  <c r="L60" i="20"/>
  <c r="L41" i="20"/>
  <c r="L63" i="20" s="1"/>
  <c r="L39" i="20"/>
  <c r="L61" i="20" s="1"/>
  <c r="L40" i="20"/>
  <c r="L62" i="20" s="1"/>
  <c r="E48" i="10"/>
  <c r="C21" i="23" l="1"/>
  <c r="H298" i="57"/>
  <c r="I297" i="57"/>
  <c r="I298" i="57" s="1"/>
  <c r="E41" i="20"/>
  <c r="E63" i="20" s="1"/>
  <c r="E40" i="20"/>
  <c r="E62" i="20" s="1"/>
  <c r="E39" i="20"/>
  <c r="E61" i="20" s="1"/>
  <c r="B339" i="57"/>
  <c r="C75" i="93"/>
  <c r="C339" i="57"/>
  <c r="E353" i="57"/>
  <c r="C357" i="57"/>
  <c r="E357" i="57" s="1"/>
  <c r="G26" i="23"/>
  <c r="E134" i="93" s="1"/>
  <c r="H30" i="23"/>
  <c r="G30" i="23"/>
  <c r="F30" i="23"/>
  <c r="E30" i="23"/>
  <c r="D39" i="20"/>
  <c r="D61" i="20" s="1"/>
  <c r="D40" i="20"/>
  <c r="D62" i="20" s="1"/>
  <c r="D38" i="20"/>
  <c r="D60" i="20" s="1"/>
  <c r="F10" i="76"/>
  <c r="N42" i="20"/>
  <c r="N64" i="20" s="1"/>
  <c r="H63" i="20"/>
  <c r="O63" i="20"/>
  <c r="K62" i="20"/>
  <c r="J70" i="20" s="1"/>
  <c r="D260" i="57" s="1"/>
  <c r="G61" i="20"/>
  <c r="I62" i="20"/>
  <c r="H62" i="20"/>
  <c r="M63" i="20"/>
  <c r="I61" i="20"/>
  <c r="G42" i="20"/>
  <c r="G64" i="20" s="1"/>
  <c r="J42" i="20"/>
  <c r="J64" i="20" s="1"/>
  <c r="I42" i="20"/>
  <c r="I64" i="20" s="1"/>
  <c r="H42" i="20"/>
  <c r="H64" i="20" s="1"/>
  <c r="F40" i="20"/>
  <c r="F38" i="20"/>
  <c r="F60" i="20" s="1"/>
  <c r="D68" i="20" s="1"/>
  <c r="F39" i="20"/>
  <c r="F61" i="20" s="1"/>
  <c r="F41" i="20"/>
  <c r="F63" i="20" s="1"/>
  <c r="I69" i="20"/>
  <c r="K42" i="20"/>
  <c r="K64" i="20" s="1"/>
  <c r="I75" i="20"/>
  <c r="I81" i="20"/>
  <c r="O42" i="20"/>
  <c r="O64" i="20" s="1"/>
  <c r="M42" i="20"/>
  <c r="M64" i="20" s="1"/>
  <c r="J69" i="20"/>
  <c r="D259" i="57" s="1"/>
  <c r="L42" i="20"/>
  <c r="L64" i="20" s="1"/>
  <c r="E42" i="20" l="1"/>
  <c r="E44" i="20" s="1"/>
  <c r="F26" i="23"/>
  <c r="H26" i="23"/>
  <c r="G10" i="42"/>
  <c r="C361" i="57" s="1"/>
  <c r="F75" i="20"/>
  <c r="D42" i="20"/>
  <c r="D43" i="20" s="1"/>
  <c r="E64" i="20"/>
  <c r="H77" i="20"/>
  <c r="N43" i="20"/>
  <c r="F69" i="20"/>
  <c r="G75" i="20"/>
  <c r="F81" i="20"/>
  <c r="H75" i="20"/>
  <c r="G77" i="20"/>
  <c r="H71" i="20"/>
  <c r="I83" i="20"/>
  <c r="L81" i="20"/>
  <c r="M82" i="20"/>
  <c r="N70" i="20"/>
  <c r="G81" i="20"/>
  <c r="M69" i="20"/>
  <c r="K71" i="20"/>
  <c r="G71" i="20"/>
  <c r="H83" i="20"/>
  <c r="F71" i="20"/>
  <c r="F83" i="20"/>
  <c r="F77" i="20"/>
  <c r="I71" i="20"/>
  <c r="K70" i="20"/>
  <c r="H81" i="20"/>
  <c r="K77" i="20"/>
  <c r="I43" i="20"/>
  <c r="H43" i="20"/>
  <c r="H69" i="20"/>
  <c r="G83" i="20"/>
  <c r="I77" i="20"/>
  <c r="J71" i="20"/>
  <c r="D261" i="57" s="1"/>
  <c r="J77" i="20"/>
  <c r="C261" i="57" s="1"/>
  <c r="J83" i="20"/>
  <c r="B261" i="57" s="1"/>
  <c r="G43" i="20"/>
  <c r="L82" i="20"/>
  <c r="G69" i="20"/>
  <c r="N71" i="20"/>
  <c r="L75" i="20"/>
  <c r="K82" i="20"/>
  <c r="N76" i="20"/>
  <c r="O69" i="20"/>
  <c r="F70" i="20"/>
  <c r="J75" i="20"/>
  <c r="C259" i="57" s="1"/>
  <c r="I76" i="20"/>
  <c r="N82" i="20"/>
  <c r="M77" i="20"/>
  <c r="G82" i="20"/>
  <c r="M81" i="20"/>
  <c r="H82" i="20"/>
  <c r="J43" i="20"/>
  <c r="M83" i="20"/>
  <c r="M70" i="20"/>
  <c r="M76" i="20"/>
  <c r="J81" i="20"/>
  <c r="B259" i="57" s="1"/>
  <c r="N69" i="20"/>
  <c r="F62" i="20"/>
  <c r="E70" i="20" s="1"/>
  <c r="M71" i="20"/>
  <c r="M75" i="20"/>
  <c r="N83" i="20"/>
  <c r="O70" i="20"/>
  <c r="F82" i="20"/>
  <c r="N75" i="20"/>
  <c r="G76" i="20"/>
  <c r="N77" i="20"/>
  <c r="N81" i="20"/>
  <c r="L76" i="20"/>
  <c r="K83" i="20"/>
  <c r="L77" i="20"/>
  <c r="H70" i="20"/>
  <c r="I82" i="20"/>
  <c r="I70" i="20"/>
  <c r="K81" i="20"/>
  <c r="L70" i="20"/>
  <c r="J82" i="20"/>
  <c r="B260" i="57" s="1"/>
  <c r="H76" i="20"/>
  <c r="F76" i="20"/>
  <c r="K75" i="20"/>
  <c r="K76" i="20"/>
  <c r="J76" i="20"/>
  <c r="C260" i="57" s="1"/>
  <c r="O71" i="20"/>
  <c r="L83" i="20"/>
  <c r="K69" i="20"/>
  <c r="L69" i="20"/>
  <c r="L71" i="20"/>
  <c r="G70" i="20"/>
  <c r="H68" i="20"/>
  <c r="N68" i="20"/>
  <c r="N80" i="20"/>
  <c r="N74" i="20"/>
  <c r="J68" i="20"/>
  <c r="D258" i="57" s="1"/>
  <c r="J80" i="20"/>
  <c r="B258" i="57" s="1"/>
  <c r="J74" i="20"/>
  <c r="C258" i="57" s="1"/>
  <c r="E81" i="20"/>
  <c r="E75" i="20"/>
  <c r="E69" i="20"/>
  <c r="E71" i="20"/>
  <c r="E77" i="20"/>
  <c r="E83" i="20"/>
  <c r="O43" i="20"/>
  <c r="F42" i="20"/>
  <c r="F64" i="20" s="1"/>
  <c r="H80" i="20"/>
  <c r="D69" i="20"/>
  <c r="H74" i="20"/>
  <c r="M43" i="20"/>
  <c r="D77" i="20"/>
  <c r="F68" i="20"/>
  <c r="L68" i="20"/>
  <c r="L80" i="20"/>
  <c r="L74" i="20"/>
  <c r="D83" i="20"/>
  <c r="L43" i="20"/>
  <c r="K68" i="20"/>
  <c r="K80" i="20"/>
  <c r="K74" i="20"/>
  <c r="D75" i="20"/>
  <c r="G74" i="20"/>
  <c r="F74" i="20"/>
  <c r="F80" i="20"/>
  <c r="I80" i="20"/>
  <c r="M74" i="20"/>
  <c r="D81" i="20"/>
  <c r="D80" i="20"/>
  <c r="G80" i="20"/>
  <c r="I74" i="20"/>
  <c r="E43" i="20"/>
  <c r="K43" i="20"/>
  <c r="G68" i="20"/>
  <c r="M80" i="20"/>
  <c r="O68" i="20"/>
  <c r="D71" i="20"/>
  <c r="I68" i="20"/>
  <c r="M68" i="20"/>
  <c r="D262" i="57" l="1"/>
  <c r="H10" i="42"/>
  <c r="D361" i="57" s="1"/>
  <c r="F134" i="93"/>
  <c r="F10" i="42"/>
  <c r="B361" i="57" s="1"/>
  <c r="D134" i="93"/>
  <c r="B262" i="57"/>
  <c r="C262" i="57"/>
  <c r="D64" i="20"/>
  <c r="F72" i="20"/>
  <c r="E44" i="76" s="1"/>
  <c r="E46" i="76" s="1"/>
  <c r="J72" i="20"/>
  <c r="I44" i="76" s="1"/>
  <c r="D76" i="20"/>
  <c r="M84" i="20"/>
  <c r="I78" i="20"/>
  <c r="F84" i="20"/>
  <c r="E49" i="76" s="1"/>
  <c r="E51" i="76" s="1"/>
  <c r="L84" i="20"/>
  <c r="J78" i="20"/>
  <c r="I39" i="76" s="1"/>
  <c r="D82" i="20"/>
  <c r="D84" i="20" s="1"/>
  <c r="C49" i="76" s="1"/>
  <c r="C51" i="76" s="1"/>
  <c r="E76" i="20"/>
  <c r="I72" i="20"/>
  <c r="H44" i="76" s="1"/>
  <c r="H46" i="76" s="1"/>
  <c r="E82" i="20"/>
  <c r="D70" i="20"/>
  <c r="D72" i="20" s="1"/>
  <c r="C44" i="76" s="1"/>
  <c r="C46" i="76" s="1"/>
  <c r="M72" i="20"/>
  <c r="H78" i="20"/>
  <c r="N78" i="20"/>
  <c r="K78" i="20"/>
  <c r="K84" i="20"/>
  <c r="G72" i="20"/>
  <c r="H72" i="20"/>
  <c r="G44" i="76" s="1"/>
  <c r="G46" i="76" s="1"/>
  <c r="G84" i="20"/>
  <c r="F49" i="76" s="1"/>
  <c r="F51" i="76" s="1"/>
  <c r="L72" i="20"/>
  <c r="J84" i="20"/>
  <c r="I49" i="76" s="1"/>
  <c r="F78" i="20"/>
  <c r="G78" i="20"/>
  <c r="L78" i="20"/>
  <c r="O72" i="20"/>
  <c r="N84" i="20"/>
  <c r="I84" i="20"/>
  <c r="H49" i="76" s="1"/>
  <c r="H51" i="76" s="1"/>
  <c r="N72" i="20"/>
  <c r="H84" i="20"/>
  <c r="G49" i="76" s="1"/>
  <c r="G51" i="76" s="1"/>
  <c r="K72" i="20"/>
  <c r="M78" i="20"/>
  <c r="D74" i="20"/>
  <c r="F43" i="20"/>
  <c r="E74" i="20"/>
  <c r="E80" i="20"/>
  <c r="E68" i="20"/>
  <c r="E72" i="20" s="1"/>
  <c r="D44" i="76" s="1"/>
  <c r="D46" i="76" s="1"/>
  <c r="I10" i="42" l="1"/>
  <c r="I41" i="76"/>
  <c r="B9" i="76"/>
  <c r="B338" i="57" s="1"/>
  <c r="I46" i="76"/>
  <c r="D9" i="76"/>
  <c r="D338" i="57" s="1"/>
  <c r="I51" i="76"/>
  <c r="D47" i="76"/>
  <c r="C9" i="76"/>
  <c r="G52" i="76"/>
  <c r="H47" i="76"/>
  <c r="G39" i="76"/>
  <c r="F44" i="76"/>
  <c r="F52" i="76"/>
  <c r="H39" i="76"/>
  <c r="H52" i="76"/>
  <c r="F39" i="76"/>
  <c r="F41" i="76" s="1"/>
  <c r="E39" i="76"/>
  <c r="E47" i="76"/>
  <c r="E78" i="20"/>
  <c r="D78" i="20"/>
  <c r="E84" i="20"/>
  <c r="D49" i="76" s="1"/>
  <c r="D51" i="76" s="1"/>
  <c r="F9" i="76" l="1"/>
  <c r="C73" i="93"/>
  <c r="C77" i="93" s="1"/>
  <c r="C338" i="57"/>
  <c r="D12" i="76"/>
  <c r="H41" i="76"/>
  <c r="B12" i="76"/>
  <c r="G41" i="76"/>
  <c r="E41" i="76"/>
  <c r="F46" i="76"/>
  <c r="F47" i="76" s="1"/>
  <c r="C12" i="76"/>
  <c r="I47" i="76"/>
  <c r="C39" i="76"/>
  <c r="E52" i="76"/>
  <c r="D52" i="76"/>
  <c r="D39" i="76"/>
  <c r="D41" i="76" s="1"/>
  <c r="I52" i="76"/>
  <c r="D341" i="57" l="1"/>
  <c r="F12" i="76"/>
  <c r="C4" i="81"/>
  <c r="F13" i="81" s="1"/>
  <c r="C341" i="57"/>
  <c r="B341" i="57"/>
  <c r="C41" i="76"/>
  <c r="G47" i="76"/>
  <c r="I42" i="76"/>
  <c r="G42" i="76"/>
  <c r="F42" i="76"/>
  <c r="H42" i="76"/>
  <c r="E13" i="81" l="1"/>
  <c r="G12" i="81"/>
  <c r="E42" i="76"/>
  <c r="D42" i="76"/>
  <c r="G13" i="81" l="1"/>
  <c r="I13" i="81"/>
  <c r="H13" i="81"/>
  <c r="I12" i="81"/>
  <c r="H12" i="81"/>
  <c r="F133" i="93" l="1"/>
  <c r="F375" i="57" s="1"/>
  <c r="E133" i="93"/>
  <c r="E375" i="57" s="1"/>
  <c r="D133" i="93"/>
  <c r="D375" i="57" s="1"/>
  <c r="F346" i="57"/>
  <c r="F348" i="57" s="1"/>
  <c r="E346" i="57"/>
  <c r="G346" i="57"/>
  <c r="G348" i="57" s="1"/>
  <c r="G9" i="42"/>
  <c r="H9" i="42"/>
  <c r="F9" i="42"/>
  <c r="G133" i="93" l="1"/>
  <c r="E348" i="57"/>
  <c r="H348" i="57"/>
  <c r="H346" i="57"/>
  <c r="C347" i="57" l="1"/>
  <c r="F347" i="57"/>
  <c r="G347" i="57"/>
  <c r="E347" i="57"/>
  <c r="D347" i="57"/>
  <c r="B347" i="57"/>
  <c r="H347" i="57" l="1"/>
  <c r="N9" i="42" l="1"/>
  <c r="G103" i="93" s="1"/>
  <c r="F136" i="93" s="1"/>
  <c r="F378" i="57" s="1"/>
  <c r="M9" i="42"/>
  <c r="F103" i="93" s="1"/>
  <c r="E136" i="93" s="1"/>
  <c r="E378" i="57" s="1"/>
  <c r="L9" i="42" l="1"/>
  <c r="I9" i="42"/>
  <c r="L10" i="42" l="1"/>
  <c r="E103" i="93"/>
  <c r="D136" i="93" s="1"/>
  <c r="D378" i="57" s="1"/>
  <c r="G136" i="93" l="1"/>
  <c r="L11" i="42" l="1"/>
  <c r="F12" i="42" s="1"/>
  <c r="N11" i="42" l="1"/>
  <c r="H12" i="42" s="1"/>
  <c r="M11" i="42"/>
  <c r="G12" i="42" s="1"/>
  <c r="I12" i="42" l="1"/>
  <c r="G13" i="42"/>
  <c r="E6" i="93" s="1"/>
  <c r="G14" i="42"/>
  <c r="G21" i="42"/>
  <c r="G22" i="42" s="1"/>
  <c r="F14" i="42"/>
  <c r="F13" i="42"/>
  <c r="H21" i="42"/>
  <c r="H13" i="42"/>
  <c r="H14" i="42"/>
  <c r="F21" i="42"/>
  <c r="E11" i="93" l="1"/>
  <c r="G31" i="93"/>
  <c r="G33" i="93" s="1"/>
  <c r="F6" i="93"/>
  <c r="E31" i="93"/>
  <c r="E33" i="93" s="1"/>
  <c r="D6" i="93"/>
  <c r="F104" i="93"/>
  <c r="E137" i="93" s="1"/>
  <c r="E379" i="57" s="1"/>
  <c r="F31" i="93"/>
  <c r="F33" i="93" s="1"/>
  <c r="D60" i="93"/>
  <c r="E104" i="93"/>
  <c r="D137" i="93" s="1"/>
  <c r="D379" i="57" s="1"/>
  <c r="F60" i="93"/>
  <c r="G104" i="93"/>
  <c r="F137" i="93" s="1"/>
  <c r="F379" i="57" s="1"/>
  <c r="G33" i="42"/>
  <c r="E60" i="93"/>
  <c r="I14" i="42"/>
  <c r="I13" i="42"/>
  <c r="F22" i="42"/>
  <c r="I21" i="42"/>
  <c r="F33" i="42"/>
  <c r="G24" i="42"/>
  <c r="G25" i="42" s="1"/>
  <c r="E13" i="93" s="1"/>
  <c r="F24" i="42"/>
  <c r="F25" i="42" s="1"/>
  <c r="D13" i="93" s="1"/>
  <c r="H33" i="42"/>
  <c r="H24" i="42"/>
  <c r="H25" i="42" s="1"/>
  <c r="F13" i="93" s="1"/>
  <c r="H22" i="42"/>
  <c r="G137" i="93" l="1"/>
  <c r="I33" i="42"/>
  <c r="D11" i="93"/>
  <c r="F11" i="93"/>
  <c r="G37" i="42"/>
  <c r="G34" i="42"/>
  <c r="I24" i="42"/>
  <c r="F34" i="42"/>
  <c r="F37" i="42"/>
  <c r="I22" i="42"/>
  <c r="I25" i="42"/>
  <c r="H34" i="42"/>
  <c r="H37" i="42"/>
  <c r="I37" i="42" l="1"/>
  <c r="I34" i="42"/>
  <c r="G38" i="42"/>
  <c r="F38" i="42"/>
  <c r="H38" i="42"/>
  <c r="I38" i="42" l="1"/>
  <c r="O81" i="20" l="1"/>
  <c r="O75" i="20"/>
  <c r="O77" i="20"/>
  <c r="O83" i="20"/>
  <c r="O76" i="20"/>
  <c r="O82" i="20"/>
  <c r="O80" i="20" l="1"/>
  <c r="O84" i="20" s="1"/>
  <c r="O74" i="20"/>
  <c r="O7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tc={698CC960-02E9-494A-A581-EA8294FBADD4}</author>
  </authors>
  <commentList>
    <comment ref="B30" authorId="0" shapeId="0" xr:uid="{698CC960-02E9-494A-A581-EA8294FBADD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based on an updated estimate of the 2025 NZ ETS cap from ERP2 projections - this is different than the 2025 cap used in current settings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tc={0B2A47C0-8A51-4E4A-A76D-4C9535CCEE00}</author>
    <author>tc={3F06B33B-A91F-44E3-A249-D16B2397AFD9}</author>
    <author>tc={E5BB02DE-9E97-411B-8606-789147D4A91E}</author>
    <author>tc={E5D7B0F1-5E06-45A3-B212-AAF208C31045}</author>
    <author>tc={F9B62F5D-918F-4CF9-8C2B-7B87325CE0D3}</author>
  </authors>
  <commentList>
    <comment ref="B9" authorId="0" shapeId="0" xr:uid="{0B2A47C0-8A51-4E4A-A76D-4C9535CCEE00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municipal landfill disposal facilities are covered by the NZ ETS. All other waste emissions are outside of the NZ ETS. This includes emissions from non-municipal landfills, farm fills, and wastewater treatment.</t>
      </text>
    </comment>
    <comment ref="B10" authorId="1" shapeId="0" xr:uid="{3F06B33B-A91F-44E3-A249-D16B2397AFD9}">
      <text>
        <t>[Threaded comment]
Your version of Excel allows you to read this threaded comment; however, any edits to it will get removed if the file is opened in a newer version of Excel. Learn more: https://go.microsoft.com/fwlink/?linkid=870924
Comment:
    A portion of HFC emissions associated with certain goods and vehicles are priced through the Synthetic Greenhouse Gas (SGG) levy instead of facing NZ ETS unit surrender obligations.</t>
      </text>
    </comment>
    <comment ref="B11" authorId="2" shapeId="0" xr:uid="{E5BB02DE-9E97-411B-8606-789147D4A91E}">
      <text>
        <t>[Threaded comment]
Your version of Excel allows you to read this threaded comment; however, any edits to it will get removed if the file is opened in a newer version of Excel. Learn more: https://go.microsoft.com/fwlink/?linkid=870924
Comment:
    Several small emissions sources in the Industrial Processes and Product Use (IPPU) inventory category are outside the NZ ETS. These include:
-Non-energy products from fuels and solvent use
-Sulphur hexafluoride and perfluorocarbons from medical and other product use
-Nitrous oxide from medical applications
-Other uses of carbonate</t>
      </text>
    </comment>
    <comment ref="B35" authorId="3" shapeId="0" xr:uid="{E5D7B0F1-5E06-45A3-B212-AAF208C3104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ERP2 updated to meet EB3 minus non-NZ ETS emissions. 
This assigns all the additional abatement needed to meet EB3 to the NZ ETS. </t>
      </text>
    </comment>
    <comment ref="J43" authorId="4" shapeId="0" xr:uid="{F9B62F5D-918F-4CF9-8C2B-7B87325CE0D3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Difference between ERP2 path and path updated to meet EB3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tc={EAD0E164-A6E6-4032-9A4E-43F4C4EF6517}</author>
    <author>tc={46180329-D978-4A27-B954-5C6C0A6C1F06}</author>
    <author>tc={53C8A70D-8902-432D-A842-E2D647B0B0B2}</author>
    <author>tc={30D4C9B7-9D38-4890-86B8-1206EE667B55}</author>
    <author>tc={8DD86981-0EE8-40B0-865A-9D32AEA3FDB4}</author>
    <author>tc={FB4E9A34-2A0E-4EAA-A189-646BD1ED8BF3}</author>
    <author>tc={30DD0CE5-46A2-4432-92BA-4D5E7675AB8D}</author>
    <author>tc={698C8CF3-C05F-4980-A595-87046A479C8E}</author>
    <author>tc={591553AD-6760-4949-A912-F599BABE8459}</author>
    <author>tc={23A49CAC-8B4C-4314-844B-6593992742E8}</author>
    <author>tc={5080EF47-CA4D-4B5A-B5C7-BFBD34FCB93A}</author>
    <author>tc={AF6E7F2F-C4AE-4EB7-A815-7071D3F0D655}</author>
  </authors>
  <commentList>
    <comment ref="C1" authorId="0" shapeId="0" xr:uid="{EAD0E164-A6E6-4032-9A4E-43F4C4EF6517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has been updated to reflect allocations based on production volumes and updated allocative baselines, meaning these volumes are not in line with actual allocations for IA in 2023</t>
      </text>
    </comment>
    <comment ref="B5" authorId="1" shapeId="0" xr:uid="{46180329-D978-4A27-B954-5C6C0A6C1F06}">
      <text>
        <t>[Threaded comment]
Your version of Excel allows you to read this threaded comment; however, any edits to it will get removed if the file is opened in a newer version of Excel. Learn more: https://go.microsoft.com/fwlink/?linkid=870924
Comment:
    NZS + Pacific Steel + Fletcher Steel in its different ownership structures over time. Activities: iron and steel from iron sand and carbon steel from cold ferrous feed.</t>
      </text>
    </comment>
    <comment ref="B7" authorId="2" shapeId="0" xr:uid="{53C8A70D-8902-432D-A842-E2D647B0B0B2}">
      <text>
        <t>[Threaded comment]
Your version of Excel allows you to read this threaded comment; however, any edits to it will get removed if the file is opened in a newer version of Excel. Learn more: https://go.microsoft.com/fwlink/?linkid=870924
Comment:
    Caustic soda, hydrogen peroxide</t>
      </text>
    </comment>
    <comment ref="B9" authorId="3" shapeId="0" xr:uid="{30D4C9B7-9D38-4890-86B8-1206EE667B55}">
      <text>
        <t>[Threaded comment]
Your version of Excel allows you to read this threaded comment; however, any edits to it will get removed if the file is opened in a newer version of Excel. Learn more: https://go.microsoft.com/fwlink/?linkid=870924
Comment:
    Whey powder and lactose</t>
      </text>
    </comment>
    <comment ref="B10" authorId="4" shapeId="0" xr:uid="{8DD86981-0EE8-40B0-865A-9D32AEA3FDB4}">
      <text>
        <t>[Threaded comment]
Your version of Excel allows you to read this threaded comment; however, any edits to it will get removed if the file is opened in a newer version of Excel. Learn more: https://go.microsoft.com/fwlink/?linkid=870924
Comment:
    Fresh capsicums, cucumbers, tomatoes and cut roses</t>
      </text>
    </comment>
    <comment ref="B11" authorId="5" shapeId="0" xr:uid="{FB4E9A34-2A0E-4EAA-A189-646BD1ED8BF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Protein meal and gelatine</t>
      </text>
    </comment>
    <comment ref="B12" authorId="6" shapeId="0" xr:uid="{30DD0CE5-46A2-4432-92BA-4D5E7675AB8D}">
      <text>
        <t>[Threaded comment]
Your version of Excel allows you to read this threaded comment; however, any edits to it will get removed if the file is opened in a newer version of Excel. Learn more: https://go.microsoft.com/fwlink/?linkid=870924
Comment:
    Ethanol, clay, glass + tissue paper, reconstituted wood panels</t>
      </text>
    </comment>
    <comment ref="B13" authorId="7" shapeId="0" xr:uid="{698C8CF3-C05F-4980-A595-87046A479C8E}">
      <text>
        <t>[Threaded comment]
Your version of Excel allows you to read this threaded comment; however, any edits to it will get removed if the file is opened in a newer version of Excel. Learn more: https://go.microsoft.com/fwlink/?linkid=870924
Comment:
    Cartonboard, market pulp, packaging and industrial paper, newsprint</t>
      </text>
    </comment>
    <comment ref="E35" authorId="8" shapeId="0" xr:uid="{591553AD-6760-4949-A912-F599BABE845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Assumption NZAS remains open beyond 2024 and potline 4 remains idled</t>
      </text>
    </comment>
    <comment ref="D37" authorId="9" shapeId="0" xr:uid="{23A49CAC-8B4C-4314-844B-6593992742E8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 from MfE, based on -220k in 2024 and 2025 due to change in treatment of cogen</t>
      </text>
    </comment>
    <comment ref="F37" authorId="10" shapeId="0" xr:uid="{5080EF47-CA4D-4B5A-B5C7-BFBD34FCB93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estimate in reduction of allocative baseline due to electric arc furnace installation. </t>
      </text>
    </comment>
    <comment ref="D38" authorId="11" shapeId="0" xr:uid="{AF6E7F2F-C4AE-4EB7-A815-7071D3F0D655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Methanex production reporting and forecasts. 
https://www.methanex.com/sustainability/protecting-people-and-the-environment/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tc={796EB4F5-5435-4105-9C34-2484F33717C7}</author>
    <author>tc={13E90B39-0284-424A-8886-7D53813C3D0A}</author>
    <author>tc={72AB55B4-3FF6-498F-86DB-004F1A23D5AF}</author>
  </authors>
  <commentList>
    <comment ref="B20" authorId="0" shapeId="0" xr:uid="{796EB4F5-5435-4105-9C34-2484F33717C7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30 September 2023</t>
      </text>
    </comment>
    <comment ref="G20" authorId="1" shapeId="0" xr:uid="{13E90B39-0284-424A-8886-7D53813C3D0A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December 31 2023</t>
      </text>
    </comment>
    <comment ref="A23" authorId="2" shapeId="0" xr:uid="{72AB55B4-3FF6-498F-86DB-004F1A23D5AF}">
      <text>
        <t>[Threaded comment]
Your version of Excel allows you to read this threaded comment; however, any edits to it will get removed if the file is opened in a newer version of Excel. Learn more: https://go.microsoft.com/fwlink/?linkid=870924
Comment:
    Holding units not counted separately in 2024 estimate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tc={DE391B6E-AC71-4B34-B577-EBAD7F36830A}</author>
    <author>tc={C18B61EF-BAC4-491A-912A-604B82574440}</author>
  </authors>
  <commentList>
    <comment ref="A8" authorId="0" shapeId="0" xr:uid="{DE391B6E-AC71-4B34-B577-EBAD7F36830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Note: any differences in surplus reduction volumes are dealt with via the udpated surplus estimate step. </t>
      </text>
    </comment>
    <comment ref="C9" authorId="1" shapeId="0" xr:uid="{C18B61EF-BAC4-491A-912A-604B82574440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Maintaining current cap in 2025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tc={F63FD87C-1AB8-4296-8303-5A4FB6C27B86}</author>
    <author>tc={21C7E518-2B5F-4661-8E1F-7F53BF0CB755}</author>
    <author>tc={BE53CD0D-3203-48E2-944C-39152B171A57}</author>
  </authors>
  <commentList>
    <comment ref="F12" authorId="0" shapeId="0" xr:uid="{F63FD87C-1AB8-4296-8303-5A4FB6C27B8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option to spread volumes (see V6 to alter)</t>
      </text>
    </comment>
    <comment ref="B21" authorId="1" shapeId="0" xr:uid="{21C7E518-2B5F-4661-8E1F-7F53BF0CB755}">
      <text>
        <t>[Threaded comment]
Your version of Excel allows you to read this threaded comment; however, any edits to it will get removed if the file is opened in a newer version of Excel. Learn more: https://go.microsoft.com/fwlink/?linkid=870924
Comment:
    Auction volumes + CCR volumes</t>
      </text>
    </comment>
    <comment ref="B24" authorId="2" shapeId="0" xr:uid="{BE53CD0D-3203-48E2-944C-39152B171A57}">
      <text>
        <t>[Threaded comment]
Your version of Excel allows you to read this threaded comment; however, any edits to it will get removed if the file is opened in a newer version of Excel. Learn more: https://go.microsoft.com/fwlink/?linkid=870924
Comment:
    Units available by auction + industrial free allocation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tc={7931FB82-ABDE-4E0D-AB43-3BE7EB551100}</author>
  </authors>
  <commentList>
    <comment ref="A13" authorId="0" shapeId="0" xr:uid="{7931FB82-ABDE-4E0D-AB43-3BE7EB551100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Rounded to 0 decimal places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tc={56123047-9FBE-4C6C-8E45-794E3B3A54BB}</author>
    <author>tc={588315F5-6A10-415A-8620-5B2E65C59E5C}</author>
    <author>tc={D1D90A88-42E9-4697-AC68-0B3BEF55D01F}</author>
    <author>tc={C4FBA301-2145-4936-A91C-CC78B9858025}</author>
  </authors>
  <commentList>
    <comment ref="F1" authorId="0" shapeId="0" xr:uid="{56123047-9FBE-4C6C-8E45-794E3B3A54BB}">
      <text>
        <t>[Threaded comment]
Your version of Excel allows you to read this threaded comment; however, any edits to it will get removed if the file is opened in a newer version of Excel. Learn more: https://go.microsoft.com/fwlink/?linkid=870924
Comment:
    2025 allocations/surrenders to date not included in surplus calculations</t>
      </text>
    </comment>
    <comment ref="A9" authorId="1" shapeId="0" xr:uid="{588315F5-6A10-415A-8620-5B2E65C59E5C}">
      <text>
        <t>[Threaded comment]
Your version of Excel allows you to read this threaded comment; however, any edits to it will get removed if the file is opened in a newer version of Excel. Learn more: https://go.microsoft.com/fwlink/?linkid=870924
Comment:
    20% non-harvest, 65% additional safe carbon</t>
      </text>
    </comment>
    <comment ref="A26" authorId="2" shapeId="0" xr:uid="{D1D90A88-42E9-4697-AC68-0B3BEF55D01F}">
      <text>
        <t>[Threaded comment]
Your version of Excel allows you to read this threaded comment; however, any edits to it will get removed if the file is opened in a newer version of Excel. Learn more: https://go.microsoft.com/fwlink/?linkid=870924
Comment:
    10% non-harvest, 55% safe carbon</t>
      </text>
    </comment>
    <comment ref="A44" authorId="3" shapeId="0" xr:uid="{C4FBA301-2145-4936-A91C-CC78B9858025}">
      <text>
        <t>[Threaded comment]
Your version of Excel allows you to read this threaded comment; however, any edits to it will get removed if the file is opened in a newer version of Excel. Learn more: https://go.microsoft.com/fwlink/?linkid=870924
Comment:
    30% non-harvest, 75% additional safe carbon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tc={FABB7A47-8559-43B4-8ACF-26A313D6A7A4}</author>
    <author>tc={86D6E054-0254-4DAA-B490-14BD1AA95FCC}</author>
    <author>tc={2D759316-E394-4BD5-89ED-10F3A4ABC280}</author>
    <author>tc={BA748CF5-14C4-4EEA-A2F8-27973E7A6105}</author>
    <author>tc={5F935842-6757-41AA-A4A8-0371D62B6F04}</author>
  </authors>
  <commentList>
    <comment ref="AE21" authorId="0" shapeId="0" xr:uid="{FABB7A47-8559-43B4-8ACF-26A313D6A7A4}">
      <text>
        <t>[Threaded comment]
Your version of Excel allows you to read this threaded comment; however, any edits to it will get removed if the file is opened in a newer version of Excel. Learn more: https://go.microsoft.com/fwlink/?linkid=870924
Comment:
    2051-2055 all example data based on previous trends used only to indicate the 2050 hedging volumes</t>
      </text>
    </comment>
    <comment ref="B53" authorId="1" shapeId="0" xr:uid="{86D6E054-0254-4DAA-B490-14BD1AA95FC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Estimate of stationary energy industrial allocation supply that has direct emissions surrender obligations </t>
      </text>
    </comment>
    <comment ref="C54" authorId="2" shapeId="0" xr:uid="{2D759316-E394-4BD5-89ED-10F3A4ABC280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Allocations from: Iron &amp; Steel, Aluminium and Cement &amp; Lime</t>
      </text>
    </comment>
    <comment ref="AE56" authorId="3" shapeId="0" xr:uid="{BA748CF5-14C4-4EEA-A2F8-27973E7A61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 forecasts currently, have used % reduction trend from previous year as indication</t>
      </text>
    </comment>
    <comment ref="A59" authorId="4" shapeId="0" xr:uid="{5F935842-6757-41AA-A4A8-0371D62B6F0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Based on sector target emissions levels minus industrial free allocation forecasts to direct emitters and technical adjustments. 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tc={6522402D-F55E-4887-8895-F340E75866BE}</author>
    <author>tc={7262DD7C-4877-46E2-A773-29C682193431}</author>
    <author>tc={7138214B-6D20-4260-936C-1BB6090AF80B}</author>
    <author>tc={12BD56FB-936B-4187-9924-D93DC0861705}</author>
    <author>tc={427DB6D6-4DAF-45B9-8282-158AE9637B0F}</author>
  </authors>
  <commentList>
    <comment ref="A1" authorId="0" shapeId="0" xr:uid="{6522402D-F55E-4887-8895-F340E75866B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https://www.epa.govt.nz/industry-areas/emissions-trading-scheme/market-information/privately-held-units/</t>
      </text>
    </comment>
    <comment ref="F2" authorId="1" shapeId="0" xr:uid="{7262DD7C-4877-46E2-A773-29C68219343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industrial allocation</t>
      </text>
    </comment>
    <comment ref="K2" authorId="2" shapeId="0" xr:uid="{7138214B-6D20-4260-936C-1BB6090AF80B}">
      <text>
        <t>[Threaded comment]
Your version of Excel allows you to read this threaded comment; however, any edits to it will get removed if the file is opened in a newer version of Excel. Learn more: https://go.microsoft.com/fwlink/?linkid=870924
Comment:
    Post-1989 forestry entitlement</t>
      </text>
    </comment>
    <comment ref="L2" authorId="3" shapeId="0" xr:uid="{12BD56FB-936B-4187-9924-D93DC0861705}">
      <text>
        <t>[Threaded comment]
Your version of Excel allows you to read this threaded comment; however, any edits to it will get removed if the file is opened in a newer version of Excel. Learn more: https://go.microsoft.com/fwlink/?linkid=870924
Comment:
    Other removal activities</t>
      </text>
    </comment>
    <comment ref="G12" authorId="4" shapeId="0" xr:uid="{427DB6D6-4DAF-45B9-8282-158AE9637B0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for previous Commission 2024 advice 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tc={FC07D3A1-4327-4613-8A16-99416ACE4E5B}</author>
    <author>tc={63BB9776-8C9A-4711-A52B-1875A786DC68}</author>
    <author>tc={E8B69901-D793-49B9-82A3-471B987D8910}</author>
    <author>tc={FAFFFC97-612C-4F3A-9E9D-316CF41BDC1F}</author>
    <author>tc={0381ECBB-61C4-4B70-9CB4-BFEFE576551B}</author>
    <author>tc={3E996355-EB4C-4159-AA46-62DA057312DD}</author>
    <author>tc={C5131FB3-33F1-4A5B-B7B0-15B8E207BEC1}</author>
    <author>tc={85CD43B2-364E-4F50-9C0D-38BF7768B8EA}</author>
  </authors>
  <commentList>
    <comment ref="C16" authorId="0" shapeId="0" xr:uid="{FC07D3A1-4327-4613-8A16-99416ACE4E5B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detailed results: 
5.A.1  Managed Waste Disposal Sites (KtCH4)</t>
      </text>
    </comment>
    <comment ref="C21" authorId="1" shapeId="0" xr:uid="{63BB9776-8C9A-4711-A52B-1875A786DC68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alternative analysis on "other IPPU categories" from CRF inventory tables
(includes N2O from medical applications and other medical product use)</t>
      </text>
    </comment>
    <comment ref="B24" authorId="2" shapeId="0" xr:uid="{E8B69901-D793-49B9-82A3-471B987D8910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ERP2 New Measures ENZ Detailed Results</t>
      </text>
    </comment>
    <comment ref="C28" authorId="3" shapeId="0" xr:uid="{FAFFFC97-612C-4F3A-9E9D-316CF41BDC1F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detailed results
- PFCs, HFCs, SF6</t>
      </text>
    </comment>
    <comment ref="B29" authorId="4" shapeId="0" xr:uid="{0381ECBB-61C4-4B70-9CB4-BFEFE576551B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49% in 2024 advice based on updated analysis</t>
      </text>
    </comment>
    <comment ref="C33" authorId="5" shapeId="0" xr:uid="{3E996355-EB4C-4159-AA46-62DA057312DD}">
      <text>
        <t>[Threaded comment]
Your version of Excel allows you to read this threaded comment; however, any edits to it will get removed if the file is opened in a newer version of Excel. Learn more: https://go.microsoft.com/fwlink/?linkid=870924
Comment:
    Biomass breakdown not included in ERP2 - have taken estimate from ITN ENZ demonstration path (updated for methodological changes)</t>
      </text>
    </comment>
    <comment ref="A35" authorId="6" shapeId="0" xr:uid="{C5131FB3-33F1-4A5B-B7B0-15B8E207BEC1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directly from Commission forestry model - minor updates required to match with ERP2 sum forestry</t>
      </text>
    </comment>
    <comment ref="A59" authorId="7" shapeId="0" xr:uid="{85CD43B2-364E-4F50-9C0D-38BF7768B8E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ERP2 breakdown of LFF, gas &amp; coal non-energy breakdowns was not available. These estimates are based on our previous ENZ data.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<sst xmlns="http://schemas.openxmlformats.org/spreadsheetml/2006/main" count="1461" uniqueCount="936">
  <si>
    <t>Date</t>
  </si>
  <si>
    <t>Comment</t>
  </si>
  <si>
    <t>04.04.2025</t>
  </si>
  <si>
    <t>Prepared for public release</t>
  </si>
  <si>
    <t>15.04.2025</t>
  </si>
  <si>
    <t>Approved for public release</t>
  </si>
  <si>
    <t>NZ ETS unit limit settings for 2026-2030</t>
  </si>
  <si>
    <t>Supporting spreadsheet for 2025 NZ ETS unit limits and price control settings advice, April 2025</t>
  </si>
  <si>
    <t>Overview</t>
  </si>
  <si>
    <t>Title and link to workbook tab</t>
  </si>
  <si>
    <t>Description</t>
  </si>
  <si>
    <t>Current NZ ETS settings</t>
  </si>
  <si>
    <t>NZ ETS settings currently in regulations</t>
  </si>
  <si>
    <t>Main report tables and graphs</t>
  </si>
  <si>
    <t>Technical annex 1 tables and graphs</t>
  </si>
  <si>
    <t>Unit supply calculation steps</t>
  </si>
  <si>
    <t>Step 1</t>
  </si>
  <si>
    <t>Align with emissions reduction targets</t>
  </si>
  <si>
    <t>Analysis comparing and aligning NZ ETS unit limits with emissions reduction budgets and targets</t>
  </si>
  <si>
    <t>Step 2</t>
  </si>
  <si>
    <t>Allocate volume to NZ ETS and non-NZ ETS sectors ('set the emissions cap')</t>
  </si>
  <si>
    <t>Breakdown calculations of emissions allocated to NZ ETS and non-ETS sectors</t>
  </si>
  <si>
    <t>Step 3</t>
  </si>
  <si>
    <t>Technical adjustments</t>
  </si>
  <si>
    <t xml:space="preserve">In this year's advice there are no technical adjustments </t>
  </si>
  <si>
    <t>Step 4</t>
  </si>
  <si>
    <t>Account for industrial free allocation volumes</t>
  </si>
  <si>
    <t>Calculations and assumptions used to forecast industrial free allocation</t>
  </si>
  <si>
    <t>Step 5a</t>
  </si>
  <si>
    <t>Base surplus estimate</t>
  </si>
  <si>
    <t>Combined estimate and comparisons of total base unit surplus</t>
  </si>
  <si>
    <t>Annual surplus reduction volumes</t>
  </si>
  <si>
    <t>Method of assigning base unit surplus estimate into annual surplus reduction volumes</t>
  </si>
  <si>
    <t>Step 5b</t>
  </si>
  <si>
    <t>Discrepancy adjustment</t>
  </si>
  <si>
    <t>Method to address potential updates to unit limits that are unable to be made due to limitations around when settings can be updated</t>
  </si>
  <si>
    <t>Step 6</t>
  </si>
  <si>
    <t>Approved overseas unit limits</t>
  </si>
  <si>
    <t>There are currently no recommended overseas units</t>
  </si>
  <si>
    <t>Step 7</t>
  </si>
  <si>
    <t>Calculate final auction volumes</t>
  </si>
  <si>
    <t>Calculations to reach final auction volumes and total volumes as recommendations for final settings</t>
  </si>
  <si>
    <t>Price control triggers</t>
  </si>
  <si>
    <t>Price control settings</t>
  </si>
  <si>
    <t>Adjustment of the price control triggers for inflation</t>
  </si>
  <si>
    <t>Additional analysis supporting unit supply calculation steps</t>
  </si>
  <si>
    <t>Technical adjustments review</t>
  </si>
  <si>
    <t>Comparison of NZ ETS and GHG emissions across sectors</t>
  </si>
  <si>
    <t>P90 units held long-term</t>
  </si>
  <si>
    <t>Historical data and forecasts of p90 units held in original accounts</t>
  </si>
  <si>
    <t>Units held for P89 forest harvest</t>
  </si>
  <si>
    <t>Data showing variables and ranges of p89 units held for harvest liabilities</t>
  </si>
  <si>
    <t>Additional MERP4 surplus units</t>
  </si>
  <si>
    <t>Estimate the potential additional surplus forestry units to be allocated after MERP4</t>
  </si>
  <si>
    <t>Units held for hedging</t>
  </si>
  <si>
    <t>Hedging assumptions and calculations broken down by sectors</t>
  </si>
  <si>
    <t>Stockpile volume and allocations</t>
  </si>
  <si>
    <t>Historical unit holdings data, allocations and surrenders</t>
  </si>
  <si>
    <t>Second emissions reduction plan (ERP2) summary results</t>
  </si>
  <si>
    <t>Collates key outputs from ERP2 used in unit settings analysis</t>
  </si>
  <si>
    <t>Forestry inside vs. outside NZ ETS</t>
  </si>
  <si>
    <t>Results from forestry model on NZ ETS vs. non-ETS forestry hectares and removals/emissions</t>
  </si>
  <si>
    <t>ERP2 detailed results</t>
  </si>
  <si>
    <t>Base ERP2 results</t>
  </si>
  <si>
    <t>Settings in regulation (agreed by Cabinet, end of September 2024)</t>
  </si>
  <si>
    <t>Total NZU auction volumes (millions)</t>
  </si>
  <si>
    <t>Historic</t>
  </si>
  <si>
    <t>Currently in regulations</t>
  </si>
  <si>
    <t>For visibility</t>
  </si>
  <si>
    <t>Updated as of Government annoucement on 20.08.24</t>
  </si>
  <si>
    <t>Shown in MfE breakdown to reach current volumes, but not specifically set in unit limits</t>
  </si>
  <si>
    <t>1. Align with emissions reduction targets</t>
  </si>
  <si>
    <t>Historic settings</t>
  </si>
  <si>
    <t>2. Allocate volume to non-NZ ETS sectors</t>
  </si>
  <si>
    <t>For future visibility based on workbook</t>
  </si>
  <si>
    <t>Total NZ ETS share of emissions budgets</t>
  </si>
  <si>
    <t>3. Technical adjustments</t>
  </si>
  <si>
    <t>4. Industrial free allocation</t>
  </si>
  <si>
    <t>5. Surplus reduction</t>
  </si>
  <si>
    <t>5b: Discrepancy adjustment</t>
  </si>
  <si>
    <t>6. International unit limit</t>
  </si>
  <si>
    <t>7. NZU auction volumes</t>
  </si>
  <si>
    <t>CCR tier 1 volume</t>
  </si>
  <si>
    <t>CCR tier 2 volume</t>
  </si>
  <si>
    <t>Total CCR volume</t>
  </si>
  <si>
    <t>"Total NZUs available by auction"</t>
  </si>
  <si>
    <t>"Overall limit on units" (Including IA)</t>
  </si>
  <si>
    <t>Auction reserve price</t>
  </si>
  <si>
    <t>CCR tier 1 price</t>
  </si>
  <si>
    <t>CCR tier 2 price</t>
  </si>
  <si>
    <t>Reference: www.legislation.govt.nz/regulation/public/2020.html</t>
  </si>
  <si>
    <t>2024 auction results</t>
  </si>
  <si>
    <t>Auction 1</t>
  </si>
  <si>
    <t>Auction 2</t>
  </si>
  <si>
    <t>Auction 3</t>
  </si>
  <si>
    <t>Auction 4</t>
  </si>
  <si>
    <t>SUM 2024</t>
  </si>
  <si>
    <t>Available</t>
  </si>
  <si>
    <t>Sold</t>
  </si>
  <si>
    <t>Unsold</t>
  </si>
  <si>
    <t>Note: discrepancies may exist due to rounding</t>
  </si>
  <si>
    <t>Recommendations and proposed auction volumes (Executive summary and Part 5: Final recommendations)</t>
  </si>
  <si>
    <t>Proposed auction volumes</t>
  </si>
  <si>
    <t>No changes</t>
  </si>
  <si>
    <t>Updated</t>
  </si>
  <si>
    <t>New</t>
  </si>
  <si>
    <t>Million units</t>
  </si>
  <si>
    <t>NZU auction volumes (excluding cost containment reserve volumes)</t>
  </si>
  <si>
    <t>Recommended limits and price control settings</t>
  </si>
  <si>
    <t xml:space="preserve">Updated </t>
  </si>
  <si>
    <r>
      <t>Limit on New Zealand Units available by auction (</t>
    </r>
    <r>
      <rPr>
        <i/>
        <sz val="11"/>
        <color theme="1"/>
        <rFont val="Calibri"/>
        <family val="2"/>
        <scheme val="minor"/>
      </rPr>
      <t>including CCR volume</t>
    </r>
    <r>
      <rPr>
        <sz val="11"/>
        <color theme="1"/>
        <rFont val="Calibri"/>
        <family val="2"/>
        <scheme val="minor"/>
      </rPr>
      <t>)</t>
    </r>
  </si>
  <si>
    <t>Limit on the approved overseas units used</t>
  </si>
  <si>
    <t>Overall limit on units</t>
  </si>
  <si>
    <t>Cost containment reserve</t>
  </si>
  <si>
    <t>Tier 1</t>
  </si>
  <si>
    <t xml:space="preserve">Trigger price </t>
  </si>
  <si>
    <t>Reserve volume (million units)</t>
  </si>
  <si>
    <t>Tier 2</t>
  </si>
  <si>
    <t>Trigger price</t>
  </si>
  <si>
    <t>Figure ES.1 / 3.3</t>
  </si>
  <si>
    <t>NZUs (millions)</t>
  </si>
  <si>
    <t>NZ ETS cap</t>
  </si>
  <si>
    <t>Auction volumes</t>
  </si>
  <si>
    <t>Industrial free allocation forecast</t>
  </si>
  <si>
    <t>Use of surplus</t>
  </si>
  <si>
    <t>Table 3.1</t>
  </si>
  <si>
    <t>Current auction volumes (excluding CCR)</t>
  </si>
  <si>
    <t>Proposed updated auction volume (excluding CCR)</t>
  </si>
  <si>
    <t>Table 3.2</t>
  </si>
  <si>
    <t>(Mt CO2e)</t>
  </si>
  <si>
    <t>Budget period</t>
  </si>
  <si>
    <t>Notified budget</t>
  </si>
  <si>
    <t>Projected emissions</t>
  </si>
  <si>
    <t xml:space="preserve">Difference </t>
  </si>
  <si>
    <t>Second (2026-2030)</t>
  </si>
  <si>
    <t>Third (2031-2035)</t>
  </si>
  <si>
    <t>Figure 3.1</t>
  </si>
  <si>
    <t>2024 estimate</t>
  </si>
  <si>
    <t>2025 estimate</t>
  </si>
  <si>
    <t>Stockpile</t>
  </si>
  <si>
    <t>P89 forest harvest liability</t>
  </si>
  <si>
    <t>Hedging volume</t>
  </si>
  <si>
    <t>Holding volume</t>
  </si>
  <si>
    <t>Surplus MERP 4 units yet to be allocated</t>
  </si>
  <si>
    <t>Note: Discrepancy due to rounding</t>
  </si>
  <si>
    <t>Figure 3.2</t>
  </si>
  <si>
    <t>Current auction volumes</t>
  </si>
  <si>
    <t>Option 1</t>
  </si>
  <si>
    <t>Option 2</t>
  </si>
  <si>
    <t>Table 3.3</t>
  </si>
  <si>
    <t>Total</t>
  </si>
  <si>
    <t>Step 1: Align with emissions reduction targets</t>
  </si>
  <si>
    <t>Step 2: Allocate volume to sectors outside the NZ ETS</t>
  </si>
  <si>
    <t>Allocate volume to NZ ETS sectors (NZ ETS emissions cap)</t>
  </si>
  <si>
    <t>Step 3: Technical adjustments</t>
  </si>
  <si>
    <t>Step 4: Industrial free allocation</t>
  </si>
  <si>
    <t>Step 5a: Surplus reduction</t>
  </si>
  <si>
    <t>Step 5b: Discrepancy adjustment</t>
  </si>
  <si>
    <t>Step 6: Approved overseas units</t>
  </si>
  <si>
    <t>Step 7a: Base auction volumes</t>
  </si>
  <si>
    <t xml:space="preserve">Step 7b: Final auction volumes </t>
  </si>
  <si>
    <t>Figure 1.1</t>
  </si>
  <si>
    <t>Y0</t>
  </si>
  <si>
    <t>Y+1</t>
  </si>
  <si>
    <t>Y+2</t>
  </si>
  <si>
    <t>Y+3</t>
  </si>
  <si>
    <t>Y+4</t>
  </si>
  <si>
    <t>Y+5</t>
  </si>
  <si>
    <t>Step 1: Align with reduction targets</t>
  </si>
  <si>
    <t>Emissions projections from the  second emissions reduction plan compared to emissions budgets</t>
  </si>
  <si>
    <t>Figure 1: Emissions projections from the second emissions reduction plan compared to emissions budgets 2025-2030</t>
  </si>
  <si>
    <t>Step 2: NZ ETS cap</t>
  </si>
  <si>
    <t>Table 1: Emissions volumes inside and outside the NZ ETS</t>
  </si>
  <si>
    <t>MtCO2e</t>
  </si>
  <si>
    <t>Total 2026-2030</t>
  </si>
  <si>
    <t xml:space="preserve">For comparison - Provisional allocation from ERP2 </t>
  </si>
  <si>
    <t>Total net emissions</t>
  </si>
  <si>
    <t>Breakdown of volumes across emissions outside the NZ ETS</t>
  </si>
  <si>
    <t>Afforestation</t>
  </si>
  <si>
    <t>Deforestation</t>
  </si>
  <si>
    <t>Total volume outside the NZ ETS</t>
  </si>
  <si>
    <t>Gross emissions inside the NZ ETS</t>
  </si>
  <si>
    <t>Forestry inside the NZ ETS</t>
  </si>
  <si>
    <t>Net emissions inside the NZ ETS - The Cap</t>
  </si>
  <si>
    <t>Current</t>
  </si>
  <si>
    <t>For Figure 2</t>
  </si>
  <si>
    <t>Other non-NZ ETS emissions</t>
  </si>
  <si>
    <r>
      <t>Figure 2</t>
    </r>
    <r>
      <rPr>
        <b/>
        <i/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Emissions allocated to NZ ETS and non-NZ ETS sectors</t>
    </r>
  </si>
  <si>
    <t>Figure 3: Liquid fossil fuel and gas emissions reported in the NZ ETS and 2024 GHG inventory</t>
  </si>
  <si>
    <t>Figure 4: Coal and steel production emissions reported in the NZ ETS and 2024 GHG inventory</t>
  </si>
  <si>
    <t>Figure 5: Waste emissions reported in the NZ ETS and 2024 GHG inventory</t>
  </si>
  <si>
    <t>Step 4: Industrial allocations</t>
  </si>
  <si>
    <t>Table 4: Industrial free allocation forecasts</t>
  </si>
  <si>
    <t>Forecast unit allocations (millions)</t>
  </si>
  <si>
    <t>Activity</t>
  </si>
  <si>
    <t>High allocation</t>
  </si>
  <si>
    <t>Moderate allocation</t>
  </si>
  <si>
    <t>Total updated forecasts</t>
  </si>
  <si>
    <t>Previous forecasts</t>
  </si>
  <si>
    <t>Difference</t>
  </si>
  <si>
    <t>For graph</t>
  </si>
  <si>
    <t>Other</t>
  </si>
  <si>
    <t>Figure 6: Comparison of previous 2024 and updated 2025 industrial free allocation forecasts</t>
  </si>
  <si>
    <t>Step 5a: Surplus estimate</t>
  </si>
  <si>
    <t>Table 5: Quarterly transfer rates of pre-1990 units from their original accounts, 2017-2024</t>
  </si>
  <si>
    <t>Year</t>
  </si>
  <si>
    <t>Average quarterly transfer rate</t>
  </si>
  <si>
    <t>Figure 7: Pre-1990 units remaining in original accounts (historic and projected)</t>
  </si>
  <si>
    <t>Table 6: Distribution of Pinus radiata harvest ages</t>
  </si>
  <si>
    <t>Harvest age</t>
  </si>
  <si>
    <t>% of area distribution</t>
  </si>
  <si>
    <t>Figure 8: Net carbon stored from different illustrative forest planting portfolios</t>
  </si>
  <si>
    <t>All age classes</t>
  </si>
  <si>
    <t>Single age class</t>
  </si>
  <si>
    <t>Spread age classes</t>
  </si>
  <si>
    <t>Maximum low risk units (100%)</t>
  </si>
  <si>
    <t>Minimum low risk units (0%)</t>
  </si>
  <si>
    <t>Table 7: Breakdown of total NZ ETS forest hectares by forest estate size</t>
  </si>
  <si>
    <t>Forest estate size</t>
  </si>
  <si>
    <t>0-99 hectares</t>
  </si>
  <si>
    <t>100-499 hectares</t>
  </si>
  <si>
    <t>500-999 hectares</t>
  </si>
  <si>
    <t>1000+ hectares</t>
  </si>
  <si>
    <t>% of total NZ ETS exotic forest hectares</t>
  </si>
  <si>
    <t>Table 8: Assumed low risk units achievable by different sizes of forest estate</t>
  </si>
  <si>
    <t>Low surplus assumption</t>
  </si>
  <si>
    <t>Central surplus assumption</t>
  </si>
  <si>
    <t>High surplus assumption</t>
  </si>
  <si>
    <t>Table 9: Modelled estimates of post-1989 units held for future harvest liabilities</t>
  </si>
  <si>
    <t>Low</t>
  </si>
  <si>
    <t>Central</t>
  </si>
  <si>
    <t>High</t>
  </si>
  <si>
    <t>Estimate at end of MERP 3</t>
  </si>
  <si>
    <t>Estimate of additional MERP 4 units held for harvest</t>
  </si>
  <si>
    <t>Estimates in million units</t>
  </si>
  <si>
    <t>Variables informing estimates</t>
  </si>
  <si>
    <t>30% not harvested 75% additional low-risk carbon</t>
  </si>
  <si>
    <t>20% not harvested 65% additional low-risk carbon</t>
  </si>
  <si>
    <t>10% not harvested 55% additional low-risk carbon</t>
  </si>
  <si>
    <t>Figure 9: Components of the unit surplus if assessed using hedging and pre-1990 units held at the end of 2024 compared to at the end of 2030</t>
  </si>
  <si>
    <t>Pre-1990 units held</t>
  </si>
  <si>
    <t>2024 base surplus</t>
  </si>
  <si>
    <t>Additional surplus units</t>
  </si>
  <si>
    <t>Reduction path</t>
  </si>
  <si>
    <t xml:space="preserve">Table 11: Estimated range of forward hedging volumes in 2030 by sector and scenario </t>
  </si>
  <si>
    <t>Sector</t>
  </si>
  <si>
    <t>Liquid fossil fuels</t>
  </si>
  <si>
    <t>Stationary energy</t>
  </si>
  <si>
    <t>IPPU and F-gases</t>
  </si>
  <si>
    <t>Waste</t>
  </si>
  <si>
    <t>SUM</t>
  </si>
  <si>
    <t>Table 12: Low-risk forestry unit breakdowns based on forecast and actual MERP4 allocations</t>
  </si>
  <si>
    <t>Category</t>
  </si>
  <si>
    <r>
      <t>Total forecast</t>
    </r>
    <r>
      <rPr>
        <b/>
        <sz val="11"/>
        <color theme="1"/>
        <rFont val="Calibri"/>
        <family val="2"/>
        <scheme val="minor"/>
      </rPr>
      <t xml:space="preserve"> forestry unit allocation in MERP 4 (2023-2025)</t>
    </r>
  </si>
  <si>
    <t>Estimated allocations that will be held for future harvest liabilities</t>
  </si>
  <si>
    <t xml:space="preserve">Estimated low-risk carbon forestry allocations </t>
  </si>
  <si>
    <r>
      <t>Actual</t>
    </r>
    <r>
      <rPr>
        <b/>
        <sz val="11"/>
        <color rgb="FF000000"/>
        <rFont val="Calibri"/>
        <family val="2"/>
        <scheme val="minor"/>
      </rPr>
      <t xml:space="preserve"> forestry units already allocated for MERP4 </t>
    </r>
  </si>
  <si>
    <t xml:space="preserve">Estimated actual allocations held for harvest </t>
  </si>
  <si>
    <t>Estimated actual low-risk carbon forestry allocations</t>
  </si>
  <si>
    <t xml:space="preserve">Estimated remaining low-risk forestry unit allocations for MERP4 </t>
  </si>
  <si>
    <t>Table 13: 2025 demand to be met by forestry units</t>
  </si>
  <si>
    <t>Volume (millions)</t>
  </si>
  <si>
    <t>2025 gross emissions</t>
  </si>
  <si>
    <t>2025 new emissions - 'NZ ETS cap'</t>
  </si>
  <si>
    <t>Forestry unit demand required to meet emitters obligations within same MERP 4 (2025 demand)</t>
  </si>
  <si>
    <t>Table 14: Estimated range of MERP4 surplus units yet to be allocated</t>
  </si>
  <si>
    <t>Additional MERP4 units above required demand (millions)</t>
  </si>
  <si>
    <t xml:space="preserve">Figure 10: Step through of calculation of surplus units from MERP4 post-1989 forestry unit </t>
  </si>
  <si>
    <t>Graph for calculating additional P89 MERP4 surplus units</t>
  </si>
  <si>
    <t>1. Total forecast allocations MERP4</t>
  </si>
  <si>
    <t>2. MERP4 low-risk allocations</t>
  </si>
  <si>
    <t>3. Remaining MERP4 low-risk allocations</t>
  </si>
  <si>
    <t>4. MERP4 surplus units</t>
  </si>
  <si>
    <t>Total low risk allocations</t>
  </si>
  <si>
    <t>Total held for harvest allocations</t>
  </si>
  <si>
    <t>Low risk units still to be allocated</t>
  </si>
  <si>
    <t>Low risk units already allocated</t>
  </si>
  <si>
    <t>Low risk units with no gross demand</t>
  </si>
  <si>
    <t>2025 emisisons forestry demand</t>
  </si>
  <si>
    <t>Addition to surplus</t>
  </si>
  <si>
    <t>Figure 12: Comparisons of unit surplus estimate ranges</t>
  </si>
  <si>
    <t>Ranges (based on 2024 unreleased units)</t>
  </si>
  <si>
    <t>2025 estimates</t>
  </si>
  <si>
    <t>EY</t>
  </si>
  <si>
    <t>2025 updated estimated range</t>
  </si>
  <si>
    <t>2024 estimated range</t>
  </si>
  <si>
    <t>EY Report</t>
  </si>
  <si>
    <t>Table 15: Calculation of central surplus estimate, with high-low estimate range (million units)</t>
  </si>
  <si>
    <t>Total units in registry (31 December 2024)</t>
  </si>
  <si>
    <t>Breakdown of surplus estimate</t>
  </si>
  <si>
    <t>Units held for P89 harvest liabilities</t>
  </si>
  <si>
    <t>Units held for hedging in 2030</t>
  </si>
  <si>
    <t>Holding</t>
  </si>
  <si>
    <t>Table 16: Annual surplus reduction calculations</t>
  </si>
  <si>
    <t>Fixed</t>
  </si>
  <si>
    <t>Annual unit reduction volume (million)</t>
  </si>
  <si>
    <t>% of total surplus estimate</t>
  </si>
  <si>
    <t>% of NZ ETS emissions cap allocated to surplus reduction</t>
  </si>
  <si>
    <t>Table 17: Difference in current settings from updated volumes across these categories (million units)</t>
  </si>
  <si>
    <t>SUM 2025-2027</t>
  </si>
  <si>
    <t>Theoretical impact on auction volumes</t>
  </si>
  <si>
    <t>Reduce</t>
  </si>
  <si>
    <t>Increase</t>
  </si>
  <si>
    <t>Total net impact</t>
  </si>
  <si>
    <t>Table 18: Annual discrepancy adjustment volumes</t>
  </si>
  <si>
    <t>(Million units)</t>
  </si>
  <si>
    <t>Annual discrepancy adjustment (increase in auction volumes)</t>
  </si>
  <si>
    <t>Step 7: Auction volumes</t>
  </si>
  <si>
    <t>Table 19 with volumes stepped through to final auction volumes shown in tab 'Main report tables and graphs'</t>
  </si>
  <si>
    <t>Table 20: Differences between calculations for updated auction volumes (2026-2030) and status quo in regulations (2025-2029)</t>
  </si>
  <si>
    <t>Change in units (millions)</t>
  </si>
  <si>
    <t>Current settings*</t>
  </si>
  <si>
    <t>Step 2: Set the NZ ETS cap</t>
  </si>
  <si>
    <t>EB1</t>
  </si>
  <si>
    <t>EB2</t>
  </si>
  <si>
    <t>EB3</t>
  </si>
  <si>
    <t>Net Kt CO2e (all gases)</t>
  </si>
  <si>
    <t>New Measures</t>
  </si>
  <si>
    <t>New measures with update to meet EB3</t>
  </si>
  <si>
    <t>Budget period summaries</t>
  </si>
  <si>
    <t>Budget periods</t>
  </si>
  <si>
    <t>Mt CO2e</t>
  </si>
  <si>
    <t>Notified Budgets</t>
  </si>
  <si>
    <t>Updated budgets based on 2023 inventory</t>
  </si>
  <si>
    <t>ERP 2 New Measure</t>
  </si>
  <si>
    <t>Differences from set budgets to ERP2 projections</t>
  </si>
  <si>
    <t>New Measure to notified budgets</t>
  </si>
  <si>
    <t>New Measures to methodological updated budgets</t>
  </si>
  <si>
    <t>Graphs</t>
  </si>
  <si>
    <t>Second emissions reduction plan emissions projections</t>
  </si>
  <si>
    <t>Emissions pathway to meet emissions budget 3</t>
  </si>
  <si>
    <t>Difference (ERP2 vs. EB3)</t>
  </si>
  <si>
    <t>Emissions budgets</t>
  </si>
  <si>
    <t>Step 2: NZ ETS vs. non-NZ ETS sectors</t>
  </si>
  <si>
    <t>Kt CO2e</t>
  </si>
  <si>
    <t>ERP2 Gross emissions</t>
  </si>
  <si>
    <t>ERP2 net emissions</t>
  </si>
  <si>
    <t>Net emissions updated to meet EB3</t>
  </si>
  <si>
    <t>Budget allocation to non-NZ ETS emissions</t>
  </si>
  <si>
    <t>Agriculture</t>
  </si>
  <si>
    <t>Non-municipal waste</t>
  </si>
  <si>
    <t>F-gases</t>
  </si>
  <si>
    <t>Industrial processes and product use (IPPU)</t>
  </si>
  <si>
    <t>Biomass combustion</t>
  </si>
  <si>
    <t>Gross emissions outside ETS</t>
  </si>
  <si>
    <t>Total non-ETS forestry</t>
  </si>
  <si>
    <t>Net emissions outside NZ ETS</t>
  </si>
  <si>
    <t>Gross emissions outside %</t>
  </si>
  <si>
    <t>Net emissions outside ETS %</t>
  </si>
  <si>
    <t>NZ ETS budget allocation</t>
  </si>
  <si>
    <t>Transport energy</t>
  </si>
  <si>
    <t>Non-transport energy</t>
  </si>
  <si>
    <t>IPPU</t>
  </si>
  <si>
    <t>Sum gross emissions inside the NZ ETS</t>
  </si>
  <si>
    <t>Gross emissions adjusted over 2031-2036</t>
  </si>
  <si>
    <t>Total ETS forestry</t>
  </si>
  <si>
    <t>Recommended</t>
  </si>
  <si>
    <t>(No reduction to meet EB3)</t>
  </si>
  <si>
    <t>Sum net emissions inside the NZ ETS</t>
  </si>
  <si>
    <t>Gross emissions inside the NZ ETS %</t>
  </si>
  <si>
    <t>Net emissions inside the NZ ETS%</t>
  </si>
  <si>
    <t>Gross vs. net emissions</t>
  </si>
  <si>
    <t>Checks</t>
  </si>
  <si>
    <t>SUM inside + outside</t>
  </si>
  <si>
    <t>Check to total net emisisons</t>
  </si>
  <si>
    <t>Summary Mt CO2e</t>
  </si>
  <si>
    <t>Net non-NZ ETS</t>
  </si>
  <si>
    <t>Net inside NZ ETS</t>
  </si>
  <si>
    <t>Total net emissions (Mt)</t>
  </si>
  <si>
    <t>1. Base industrial allocation and growth (thousand units)</t>
  </si>
  <si>
    <t>Aluminium</t>
  </si>
  <si>
    <t xml:space="preserve">Cement and lime </t>
  </si>
  <si>
    <t>Iron and steel</t>
  </si>
  <si>
    <t>Methanol</t>
  </si>
  <si>
    <t>Other - High</t>
  </si>
  <si>
    <t>Urea</t>
  </si>
  <si>
    <t>Dairy products</t>
  </si>
  <si>
    <t>Horticulture</t>
  </si>
  <si>
    <t>Meat products</t>
  </si>
  <si>
    <t>Other - Low</t>
  </si>
  <si>
    <t>Pulp and paper products</t>
  </si>
  <si>
    <t>2. IA phase-down</t>
  </si>
  <si>
    <t>Allocation rate high</t>
  </si>
  <si>
    <t>Change compared to 2023 (high)</t>
  </si>
  <si>
    <t>Allocation rate low</t>
  </si>
  <si>
    <t>Change compared to 2023 (low)</t>
  </si>
  <si>
    <t>Low allocation</t>
  </si>
  <si>
    <t>3. Assumptions on production output reductions or baseline reductions compared to 2023 levels</t>
  </si>
  <si>
    <t>4. Totals</t>
  </si>
  <si>
    <t>5. Final volumes (thousand units)</t>
  </si>
  <si>
    <t>6. Comparisons</t>
  </si>
  <si>
    <t>Status quo forecasts</t>
  </si>
  <si>
    <t>% Difference</t>
  </si>
  <si>
    <t>MfE MBU IA forecasts</t>
  </si>
  <si>
    <t>Step 5a: Base surplus estimate</t>
  </si>
  <si>
    <t>(Thousand units)</t>
  </si>
  <si>
    <t>2025 surplus estimate review based on updated methodology &amp; data</t>
  </si>
  <si>
    <t>Range</t>
  </si>
  <si>
    <t>Units in registry as of Dec 2024</t>
  </si>
  <si>
    <t>P90 held loing-term to 2030</t>
  </si>
  <si>
    <t>Held for harvest liabilities</t>
  </si>
  <si>
    <t>Units required for hedging in 2030</t>
  </si>
  <si>
    <t>Holding units for 2024 emissions</t>
  </si>
  <si>
    <t>Additional MERP 4 surplus units</t>
  </si>
  <si>
    <t>Total surplus estimate (thousand units)</t>
  </si>
  <si>
    <t>Historic estimates</t>
  </si>
  <si>
    <t>Reviewed based on CCC 2024 surplus estimate</t>
  </si>
  <si>
    <t>MfE estimate used for final 2024 settings</t>
  </si>
  <si>
    <t>EY Report estimate</t>
  </si>
  <si>
    <t>Units in registry as of 2023</t>
  </si>
  <si>
    <t>P90 held long-term to 2030</t>
  </si>
  <si>
    <t>Holding units for 2023 emissions</t>
  </si>
  <si>
    <t>na</t>
  </si>
  <si>
    <t>NA</t>
  </si>
  <si>
    <t>Units required for hedging in 2023</t>
  </si>
  <si>
    <t>2024 surplus reduction volume</t>
  </si>
  <si>
    <t>Unsold units</t>
  </si>
  <si>
    <t>Previous unit surplus estimate updated for surplus reduction and unsold auction units in 2024</t>
  </si>
  <si>
    <t>Hedging/P90 reduction over time</t>
  </si>
  <si>
    <t>Holding (all scenarios)</t>
  </si>
  <si>
    <t>Central surplus</t>
  </si>
  <si>
    <t>Central hedging</t>
  </si>
  <si>
    <t>Central P90</t>
  </si>
  <si>
    <t>SUM Units held</t>
  </si>
  <si>
    <t>Annual reductions</t>
  </si>
  <si>
    <t>Small surplus</t>
  </si>
  <si>
    <t>Small hedging</t>
  </si>
  <si>
    <t>Small P90</t>
  </si>
  <si>
    <t>SUM units held</t>
  </si>
  <si>
    <t>Large surplus</t>
  </si>
  <si>
    <t>Large hedging</t>
  </si>
  <si>
    <t>Large P90</t>
  </si>
  <si>
    <t>Step 5a: Surplus reduction volumes</t>
  </si>
  <si>
    <t>Select size estimate</t>
  </si>
  <si>
    <t>Total 2024-2030 surplus estimate</t>
  </si>
  <si>
    <t>Surplus estimate</t>
  </si>
  <si>
    <t>Updated settings period</t>
  </si>
  <si>
    <t>Annual NZ ETS emissions budget breakdown</t>
  </si>
  <si>
    <t>Cap breakdown over 2028-2030 and further budget periods</t>
  </si>
  <si>
    <t>Cap breakdown over 2026-2030 and further budget periods</t>
  </si>
  <si>
    <t>Annual reduction calculations</t>
  </si>
  <si>
    <t>From 2028</t>
  </si>
  <si>
    <t>Surplus reduction volumes based on set 2025-2027</t>
  </si>
  <si>
    <t>From 2026</t>
  </si>
  <si>
    <t>Volumes based on immediate drawdown from 2026</t>
  </si>
  <si>
    <t>Current volumes</t>
  </si>
  <si>
    <t>Step 2. NZ ETS cap</t>
  </si>
  <si>
    <t>Step 3. Technical adjustments</t>
  </si>
  <si>
    <t>Step 4. Industrial free allocation forecasts</t>
  </si>
  <si>
    <t>Step 5: Discrepency adjustment</t>
  </si>
  <si>
    <t>Updated volumes</t>
  </si>
  <si>
    <t>Discrepency adjustment</t>
  </si>
  <si>
    <t>NOTE: Surplus reduction differences are managed through the updated surplus reduction calculations</t>
  </si>
  <si>
    <t>Total discrepency</t>
  </si>
  <si>
    <t>(Note: Positive indicates updated settings would result in LOWER auction volumes; negative indicates that updated settings would result in HIGHER auction volumes)</t>
  </si>
  <si>
    <t>Step 5b. Discrepancy adjustment</t>
  </si>
  <si>
    <t>2025-2027 sum:</t>
  </si>
  <si>
    <t>Annual volumes</t>
  </si>
  <si>
    <t>Update from 2028 (recommendation)</t>
  </si>
  <si>
    <t>Annual % of 2028-2030 gross emissions</t>
  </si>
  <si>
    <t>2025-2027 over 2028-2030</t>
  </si>
  <si>
    <t>Update from 2026 (alternative option)</t>
  </si>
  <si>
    <t>Annual % of 2026-2030 cap</t>
  </si>
  <si>
    <t>2025 over 2026-2030</t>
  </si>
  <si>
    <t>Step 7: Final unit limit calculations</t>
  </si>
  <si>
    <t>2026-2030 (recommended settings period)</t>
  </si>
  <si>
    <t>Update settings from 2028</t>
  </si>
  <si>
    <t>Steps 1-7 to calculate unit supply (thousand units)</t>
  </si>
  <si>
    <t>Updated recommendations</t>
  </si>
  <si>
    <t>TOTAL</t>
  </si>
  <si>
    <t>1.</t>
  </si>
  <si>
    <t xml:space="preserve">2. </t>
  </si>
  <si>
    <t>Allocate volume to non NZ ETS Sectors</t>
  </si>
  <si>
    <t>OPTION TO SPREAD VOLUMES</t>
  </si>
  <si>
    <t>Total NZ ETS share of emissions budgets (net)</t>
  </si>
  <si>
    <t>Flat line spread auction volume?</t>
  </si>
  <si>
    <t>Yes</t>
  </si>
  <si>
    <t>3.</t>
  </si>
  <si>
    <t>4.</t>
  </si>
  <si>
    <t>Industrial free allocation</t>
  </si>
  <si>
    <t xml:space="preserve">5a. </t>
  </si>
  <si>
    <t>Surplus reduction</t>
  </si>
  <si>
    <t>Annual auction calculations</t>
  </si>
  <si>
    <t xml:space="preserve">5b. </t>
  </si>
  <si>
    <t>Sum auction volumes 2028-2030</t>
  </si>
  <si>
    <t>6.</t>
  </si>
  <si>
    <t>Approved overseas unit limit</t>
  </si>
  <si>
    <t>Auction volumes spread</t>
  </si>
  <si>
    <t>7.</t>
  </si>
  <si>
    <t>NZU auction volumes</t>
  </si>
  <si>
    <t>NZU auction volumes millions</t>
  </si>
  <si>
    <t>Total unit supply millions (Auction &amp; IA)</t>
  </si>
  <si>
    <t>CCR volumes</t>
  </si>
  <si>
    <t>Tier 1 (millions)</t>
  </si>
  <si>
    <t>Tier 2 (millions)</t>
  </si>
  <si>
    <t>Total New Zealand Units available by auction (including CCR)</t>
  </si>
  <si>
    <t>Total Including CCR (millions)</t>
  </si>
  <si>
    <t>Overall limit</t>
  </si>
  <si>
    <t>Overall limit (millions)</t>
  </si>
  <si>
    <t>SUMMARISED COMPARISONS</t>
  </si>
  <si>
    <t>Current settings</t>
  </si>
  <si>
    <t>Current industrial free allocation</t>
  </si>
  <si>
    <t>Current total non-forestry unit supply</t>
  </si>
  <si>
    <t>Updated settings</t>
  </si>
  <si>
    <t>Updated total non-forestry unit supply</t>
  </si>
  <si>
    <t>Differences</t>
  </si>
  <si>
    <t>Industrial allocation</t>
  </si>
  <si>
    <t>Total non-forestry unit supply</t>
  </si>
  <si>
    <t xml:space="preserve">  </t>
  </si>
  <si>
    <t>Real prices in 2022 dollars</t>
  </si>
  <si>
    <t>Discount rate</t>
  </si>
  <si>
    <t>Inflation forecast</t>
  </si>
  <si>
    <t>CPI inflation (annual % change)</t>
  </si>
  <si>
    <t>Treasury HYEFU 2024</t>
  </si>
  <si>
    <t>*Inflation assumed to be held constant at year to June 2028 levels for 2029-2030</t>
  </si>
  <si>
    <t>CPI index relative to 2022 dollars</t>
  </si>
  <si>
    <t>*Inflation figures June years</t>
  </si>
  <si>
    <t>CCR Reserve volumes (thousand units)</t>
  </si>
  <si>
    <t>Updated trigger prices</t>
  </si>
  <si>
    <t>ARP</t>
  </si>
  <si>
    <t>CCR Tier 1</t>
  </si>
  <si>
    <t>CCR Tier 23</t>
  </si>
  <si>
    <t>Technical adjustment review</t>
  </si>
  <si>
    <t>Liquid fossil fuel (LFF) and gas</t>
  </si>
  <si>
    <t>NZ ETS emissions returns (Kt)</t>
  </si>
  <si>
    <t>Owning obligation fuels</t>
  </si>
  <si>
    <t>Purchasing obligation fuel</t>
  </si>
  <si>
    <t>Combusting used or waste oil used tyres, or waste***</t>
  </si>
  <si>
    <t>Using crude oil or other liquid hydrocarbons***</t>
  </si>
  <si>
    <t>Gas</t>
  </si>
  <si>
    <t>Mining natural gas</t>
  </si>
  <si>
    <t>Importing natural gas</t>
  </si>
  <si>
    <t>Purchasing natural gas</t>
  </si>
  <si>
    <t>Embedded substances</t>
  </si>
  <si>
    <t>LFF &amp; gas NZ ETS emissions</t>
  </si>
  <si>
    <t>Total LFF &amp; gas total NZ ETS emissions (Mt)</t>
  </si>
  <si>
    <t>2024 GHG Inventory CO2e (Kt)</t>
  </si>
  <si>
    <t>(CRF tables)</t>
  </si>
  <si>
    <t>LFF combustion minus oil refinery</t>
  </si>
  <si>
    <t>Gaseous fuels combustion</t>
  </si>
  <si>
    <t>Fugitive emissions, natural gas venting &amp; flaring</t>
  </si>
  <si>
    <t>IPPU chemical industry, excl. H2 production</t>
  </si>
  <si>
    <t>LFF &amp; gas GHG inventory</t>
  </si>
  <si>
    <t>Total LFF &amp; gas GHG inventory (Mt)</t>
  </si>
  <si>
    <t>LFF &amp; gas differences</t>
  </si>
  <si>
    <t>LFF &amp; gas difference  (Mt)</t>
  </si>
  <si>
    <t>ETS % of inventory</t>
  </si>
  <si>
    <t>Percentage difference</t>
  </si>
  <si>
    <t>Coal and steel</t>
  </si>
  <si>
    <t>Importing coal</t>
  </si>
  <si>
    <t>Mining coal</t>
  </si>
  <si>
    <t>Purchasing coal***</t>
  </si>
  <si>
    <t>Producing iron or steel</t>
  </si>
  <si>
    <t>Coal &amp; steel NZ ETS emissions</t>
  </si>
  <si>
    <t>Total coal and steel NZ ETS emissions (Mt)</t>
  </si>
  <si>
    <t>Coal and steel 2024 GHG Inventory CO2e (Kt)</t>
  </si>
  <si>
    <t>Solid fuels combustion</t>
  </si>
  <si>
    <t>Fugitive emissions, coal mining &amp; handling</t>
  </si>
  <si>
    <t>IPPU iron &amp; steel</t>
  </si>
  <si>
    <t>Coal &amp; steel GHG inventory</t>
  </si>
  <si>
    <t>Total coal and steel GHG inventory (Mt)</t>
  </si>
  <si>
    <t>Coal and steel differences</t>
  </si>
  <si>
    <t>Coal and steel difference (Mt)</t>
  </si>
  <si>
    <t>Operating a disposal facility</t>
  </si>
  <si>
    <t>Waste NZ ETS emissions</t>
  </si>
  <si>
    <t>Waste 2024 GHG Inventory CO2e (Kt)</t>
  </si>
  <si>
    <t>Waste GHG inventory</t>
  </si>
  <si>
    <t>Waste GHG inventory (Mt)</t>
  </si>
  <si>
    <t>Waste difference (Mt)</t>
  </si>
  <si>
    <t>Quarterly actuals and forecasts</t>
  </si>
  <si>
    <t>Historic data</t>
  </si>
  <si>
    <t>Percentage based transfers forecasts (updated recommendation)</t>
  </si>
  <si>
    <t>Actuals (millions)</t>
  </si>
  <si>
    <t>Transfers</t>
  </si>
  <si>
    <t>% Transfers</t>
  </si>
  <si>
    <t>Rolling transfers %</t>
  </si>
  <si>
    <t>Medium</t>
  </si>
  <si>
    <t>2025-2030</t>
  </si>
  <si>
    <t>2031-2040</t>
  </si>
  <si>
    <t>Annual results</t>
  </si>
  <si>
    <t>Transpose for graph</t>
  </si>
  <si>
    <t>Historic transfers</t>
  </si>
  <si>
    <t>Fast transfers path</t>
  </si>
  <si>
    <t>Central transfers path</t>
  </si>
  <si>
    <t>Slow transfers path</t>
  </si>
  <si>
    <t>MPI Actuals MERP 4 (thousand units)</t>
  </si>
  <si>
    <t>MERP4 Allocations/Reimbursements</t>
  </si>
  <si>
    <t>MERP4 Surrenders/Repayments</t>
  </si>
  <si>
    <t>NET</t>
  </si>
  <si>
    <t>Data from forestry model</t>
  </si>
  <si>
    <t>End of MERP 3 (2022) Cummulative unit supply</t>
  </si>
  <si>
    <t>Annual supply--&gt;</t>
  </si>
  <si>
    <t>Central harvest liability</t>
  </si>
  <si>
    <t>Total surrenders</t>
  </si>
  <si>
    <t>Total allocations</t>
  </si>
  <si>
    <t>Total net allocations</t>
  </si>
  <si>
    <t>Total safe carbon allocations</t>
  </si>
  <si>
    <t>Total units with future liability</t>
  </si>
  <si>
    <t>Total net units with future liability</t>
  </si>
  <si>
    <t>% safe carbon allocations</t>
  </si>
  <si>
    <t>% units with future liability</t>
  </si>
  <si>
    <t>"Safe carbon allocations"</t>
  </si>
  <si>
    <t>Allocations with future liability</t>
  </si>
  <si>
    <t>"Cumulative safe carbon allocations"</t>
  </si>
  <si>
    <t>Net with future liability</t>
  </si>
  <si>
    <t>High harvest liability</t>
  </si>
  <si>
    <t>Low harvest liability</t>
  </si>
  <si>
    <t>MERP4 (2023-2025) P89 units contributing to EB2 surplus (thousand units)</t>
  </si>
  <si>
    <t>Allocations</t>
  </si>
  <si>
    <t>Total MERP 4 forecast forestry allocation</t>
  </si>
  <si>
    <t>Estimated units from MERP4 that will be held for future harvest liabilities</t>
  </si>
  <si>
    <t>Estimated 'low risk' forestry allocations</t>
  </si>
  <si>
    <t>Total MERP4 forestry units allocated to end of 2024</t>
  </si>
  <si>
    <t>Estimated units held for harvest from MERP4 allocations to date</t>
  </si>
  <si>
    <t>Estimated low risk carbon units from forestry units already allocated for MERP4 (to end of 2024)</t>
  </si>
  <si>
    <t xml:space="preserve">Remaining low risk carbon forestry units to be allocated for MERP4 </t>
  </si>
  <si>
    <t>Gross emissions within ETS above the cap for 2025</t>
  </si>
  <si>
    <t>MERP4 units relating to removals from an earlier budget period that could increase surplus</t>
  </si>
  <si>
    <t>Future hedging</t>
  </si>
  <si>
    <t>Units held for hedging by emitters</t>
  </si>
  <si>
    <t>Y1</t>
  </si>
  <si>
    <t>Y2</t>
  </si>
  <si>
    <t>Y3</t>
  </si>
  <si>
    <t>Y4</t>
  </si>
  <si>
    <t>Y5</t>
  </si>
  <si>
    <t>Y6</t>
  </si>
  <si>
    <t>Future hedge profile scenario</t>
  </si>
  <si>
    <t>High hedging</t>
  </si>
  <si>
    <t>Liquid fuels</t>
  </si>
  <si>
    <t>Industrial processes</t>
  </si>
  <si>
    <t>NZ ETS Waste</t>
  </si>
  <si>
    <t>Low hedging</t>
  </si>
  <si>
    <t>Emissions exposed to emissions price risk by sector</t>
  </si>
  <si>
    <t>Check (gross emissions)</t>
  </si>
  <si>
    <t>Check difference</t>
  </si>
  <si>
    <t>% breakdown</t>
  </si>
  <si>
    <t>Adjusted to account for meeting EB3</t>
  </si>
  <si>
    <t>Check</t>
  </si>
  <si>
    <t>Technical adjustments by sector</t>
  </si>
  <si>
    <t>Industrial allocation forecasts by sector breakdown</t>
  </si>
  <si>
    <t>Total emissions exposed to emissions price risk by sector</t>
  </si>
  <si>
    <t>Total sum  annual hedging volumes</t>
  </si>
  <si>
    <t>SUM large hedging volumes</t>
  </si>
  <si>
    <t>SUM moderate hedging volumes</t>
  </si>
  <si>
    <t>SUM low hedging volumes</t>
  </si>
  <si>
    <t>Total units holdings</t>
  </si>
  <si>
    <t>Surrenders</t>
  </si>
  <si>
    <t>As of</t>
  </si>
  <si>
    <t>FY</t>
  </si>
  <si>
    <t>Auction units</t>
  </si>
  <si>
    <t>Pre-1990 units</t>
  </si>
  <si>
    <t>P89 forestry</t>
  </si>
  <si>
    <t>Quarterly change</t>
  </si>
  <si>
    <t>Industrial Allocation</t>
  </si>
  <si>
    <t>P89</t>
  </si>
  <si>
    <t>ORA</t>
  </si>
  <si>
    <t>Base auction sales</t>
  </si>
  <si>
    <t>CCR sales</t>
  </si>
  <si>
    <t>SUM allocations</t>
  </si>
  <si>
    <t>Forestry NZUs</t>
  </si>
  <si>
    <t>Other NZU</t>
  </si>
  <si>
    <t>FPO</t>
  </si>
  <si>
    <t>Net allocations and surrenders</t>
  </si>
  <si>
    <t>2020/2021_Q4</t>
  </si>
  <si>
    <t>2021/2022_Q1</t>
  </si>
  <si>
    <t>2021/2022_Q2</t>
  </si>
  <si>
    <t>2021/2022_Q3</t>
  </si>
  <si>
    <t>2021/2022_Q4</t>
  </si>
  <si>
    <t>2022/2023_Q1</t>
  </si>
  <si>
    <t>2022/2023_Q2</t>
  </si>
  <si>
    <t>2022/2023_Q3</t>
  </si>
  <si>
    <t>2022/2023_Q4</t>
  </si>
  <si>
    <t>2023/2024_Q1</t>
  </si>
  <si>
    <t>2023/2024_Q2</t>
  </si>
  <si>
    <t>2023/2024_Q3</t>
  </si>
  <si>
    <t>2023/2024_Q4</t>
  </si>
  <si>
    <t>2024/2025_Q1</t>
  </si>
  <si>
    <t>2024/2025_Q2</t>
  </si>
  <si>
    <t>Summary emissions by sector (ktCO2e)</t>
  </si>
  <si>
    <t>Transport Energy</t>
  </si>
  <si>
    <t>Non-Transport Energy</t>
  </si>
  <si>
    <t>Forests</t>
  </si>
  <si>
    <t>Net emissions</t>
  </si>
  <si>
    <t>Gross emissions</t>
  </si>
  <si>
    <t>Net emissions to meet EB3</t>
  </si>
  <si>
    <t>Discrepency</t>
  </si>
  <si>
    <t>Inside vs. outside the ETS</t>
  </si>
  <si>
    <t>Waste breakdown</t>
  </si>
  <si>
    <t>Municipal Solid Waste (Kt CH4)</t>
  </si>
  <si>
    <t>Municipal solid waste (CO2e) (Inside ETS)</t>
  </si>
  <si>
    <t>Non-municipal waste (Co2e) (Outside ETS)</t>
  </si>
  <si>
    <t>IPPU breakdown</t>
  </si>
  <si>
    <t>IPPU outside ETS</t>
  </si>
  <si>
    <t>Inside ETS</t>
  </si>
  <si>
    <t>PFCs</t>
  </si>
  <si>
    <t>2.C.3  Aluminium Production</t>
  </si>
  <si>
    <t>HFCs</t>
  </si>
  <si>
    <t>2.F  Product Uses as Substitutes for ODS</t>
  </si>
  <si>
    <t>2.G  Other Product Manufacture and Use</t>
  </si>
  <si>
    <t>SF6</t>
  </si>
  <si>
    <t>Total F-gases</t>
  </si>
  <si>
    <t>Covered by the SGG levy</t>
  </si>
  <si>
    <t>Inside the ETS</t>
  </si>
  <si>
    <t>Biomass</t>
  </si>
  <si>
    <t>1.A.2.d Biomass industry</t>
  </si>
  <si>
    <t>Forestry</t>
  </si>
  <si>
    <t>Total afforestation (forestry model)</t>
  </si>
  <si>
    <t>Total deforestation (forestry model)</t>
  </si>
  <si>
    <t>SUM Forestry</t>
  </si>
  <si>
    <t>ETS afforestation</t>
  </si>
  <si>
    <t>ETS deforestation</t>
  </si>
  <si>
    <t>SUM ETS forestry</t>
  </si>
  <si>
    <t>Non-ETS afforestation</t>
  </si>
  <si>
    <t>Non - ETS deforestation</t>
  </si>
  <si>
    <t>Sum non-ETS forestry</t>
  </si>
  <si>
    <t>Discrepency adjusted non-ETS forestry</t>
  </si>
  <si>
    <t>Non-ETS afforestation adjustment</t>
  </si>
  <si>
    <t>Non-ETS deforestation</t>
  </si>
  <si>
    <t>SUM adjusted non-ETS forestry</t>
  </si>
  <si>
    <t>Check w/ adjusted</t>
  </si>
  <si>
    <t>Estimated breakdowns of non transport energy for hedging</t>
  </si>
  <si>
    <t>Transport LFF</t>
  </si>
  <si>
    <t>Estimated breakdown of non-transport energy</t>
  </si>
  <si>
    <t>Non-transport LFF</t>
  </si>
  <si>
    <t>TOTAL FORESTRY TAKEN FROM FORESTRY MODEL</t>
  </si>
  <si>
    <t>Afforestation (ha)</t>
  </si>
  <si>
    <t>P89 Exotic</t>
  </si>
  <si>
    <t>P89 Native</t>
  </si>
  <si>
    <t>Deforestation (ha)</t>
  </si>
  <si>
    <t>P90 Exotic</t>
  </si>
  <si>
    <t>P90 Native</t>
  </si>
  <si>
    <t>TOTAL Kt CO2e</t>
  </si>
  <si>
    <t>Afforestation removals</t>
  </si>
  <si>
    <t>Deforestation emissions</t>
  </si>
  <si>
    <t>NET Forestry</t>
  </si>
  <si>
    <t>ERP Net forestry</t>
  </si>
  <si>
    <t>Discrepency %</t>
  </si>
  <si>
    <t>ETS Registered forestry estimates</t>
  </si>
  <si>
    <t>P89 native</t>
  </si>
  <si>
    <t>P90 native</t>
  </si>
  <si>
    <t>NET Forestry inside ETS</t>
  </si>
  <si>
    <t>Remaining non-ETS Registered forestry</t>
  </si>
  <si>
    <t>P89 non ETS exotic</t>
  </si>
  <si>
    <t>NET Forestry outside ETS</t>
  </si>
  <si>
    <t>Scenario</t>
  </si>
  <si>
    <t>Source: https://environment.govt.nz/publications/second-emissions-reduction-plan-technical-annex/</t>
  </si>
  <si>
    <t>New measures</t>
  </si>
  <si>
    <t>Historical</t>
  </si>
  <si>
    <t>Projected</t>
  </si>
  <si>
    <t>Macro drivers</t>
  </si>
  <si>
    <t>Macro drivers and assumptions</t>
  </si>
  <si>
    <t>Carbon Price: Multi-Sector LLGs (NZ$/tCO2e)</t>
  </si>
  <si>
    <t>Carbon Price: Forestry LLGs (NZ$/tCO2e)</t>
  </si>
  <si>
    <t>Carbon Price: Agriculture BioCH4 (NZ$/tCO2e)</t>
  </si>
  <si>
    <t>Carbon Price: Agriculture AfterFreeAllocation (NZ$/tCO2e)</t>
  </si>
  <si>
    <t>Population (thousand)</t>
  </si>
  <si>
    <t>GDP (2009/10 $million)</t>
  </si>
  <si>
    <t>Exchange rate (US$/NZ$)</t>
  </si>
  <si>
    <t>Oil price (US$/bbl)</t>
  </si>
  <si>
    <t>Summary of emissions</t>
  </si>
  <si>
    <t>Summary emissions by GHG Inventory classification (ktCO2e)</t>
  </si>
  <si>
    <t>LULUCF Target Accounting</t>
  </si>
  <si>
    <t>Net</t>
  </si>
  <si>
    <t>Gross</t>
  </si>
  <si>
    <t>Summary biogenic CH4 by GHG Inventory classification (ktCO2e)</t>
  </si>
  <si>
    <t>Summary long-lived gases by GHG Inventory classification (ktCO2e)</t>
  </si>
  <si>
    <t>Buildings, industry and energy</t>
  </si>
  <si>
    <t>Breakdown of energy emissions (ktCO2e)</t>
  </si>
  <si>
    <t>Electricity generation</t>
  </si>
  <si>
    <t>Other energy industries</t>
  </si>
  <si>
    <t>Manufacturing &amp; construction</t>
  </si>
  <si>
    <t>Residential, commercial, agriculture</t>
  </si>
  <si>
    <t>Fugitive</t>
  </si>
  <si>
    <t>Transport</t>
  </si>
  <si>
    <t>Electricity demand sectorial detail (GWh)</t>
  </si>
  <si>
    <t>Base demand</t>
  </si>
  <si>
    <t>Residential</t>
  </si>
  <si>
    <t>Commercial</t>
  </si>
  <si>
    <t>Industrial</t>
  </si>
  <si>
    <t>Fuel switching driven demand and new demand</t>
  </si>
  <si>
    <t>EVs</t>
  </si>
  <si>
    <t>Other transport</t>
  </si>
  <si>
    <t>New demand (data centres)</t>
  </si>
  <si>
    <t>Check:</t>
  </si>
  <si>
    <t>Electricity Generation (GWh)</t>
  </si>
  <si>
    <t>Non Co-generation</t>
  </si>
  <si>
    <t>Hydro</t>
  </si>
  <si>
    <t>Geothermal</t>
  </si>
  <si>
    <t>OnWind</t>
  </si>
  <si>
    <t>OffWind</t>
  </si>
  <si>
    <t>rSolar</t>
  </si>
  <si>
    <t>uSolar</t>
  </si>
  <si>
    <t>Oil</t>
  </si>
  <si>
    <t>Coal</t>
  </si>
  <si>
    <t>Co-generation</t>
  </si>
  <si>
    <t>Biogas</t>
  </si>
  <si>
    <t>Wood</t>
  </si>
  <si>
    <t>Waste-heat</t>
  </si>
  <si>
    <t>Spill</t>
  </si>
  <si>
    <t>Electricity Generation Capacity (MW)</t>
  </si>
  <si>
    <t>CCGT</t>
  </si>
  <si>
    <t>Rankine</t>
  </si>
  <si>
    <t>OCGT</t>
  </si>
  <si>
    <t>Renewable</t>
  </si>
  <si>
    <t>Fossil</t>
  </si>
  <si>
    <t>Renewables generation (%)</t>
  </si>
  <si>
    <t>% renewables incl cogen</t>
  </si>
  <si>
    <t>% renewables excl cogen</t>
  </si>
  <si>
    <t>Gas demand (PJ)</t>
  </si>
  <si>
    <t>Petrochemicals</t>
  </si>
  <si>
    <t>Coal demand breakdown (PJ)</t>
  </si>
  <si>
    <t>Other industry</t>
  </si>
  <si>
    <t>Steel</t>
  </si>
  <si>
    <t>Cement and Lime</t>
  </si>
  <si>
    <t>Food processing</t>
  </si>
  <si>
    <t>Liquid fossil fuel demand breakdown (PJ)</t>
  </si>
  <si>
    <t>Transport - domestic</t>
  </si>
  <si>
    <t>Land Petrol</t>
  </si>
  <si>
    <t>Land Diesel</t>
  </si>
  <si>
    <t>Domestic Marine liquid</t>
  </si>
  <si>
    <t>Domestic Jet</t>
  </si>
  <si>
    <t xml:space="preserve">Transport - international </t>
  </si>
  <si>
    <t>International Marine liquid</t>
  </si>
  <si>
    <t>International Jet</t>
  </si>
  <si>
    <t>Off-road motive power</t>
  </si>
  <si>
    <t>Petrol</t>
  </si>
  <si>
    <t>Diesel</t>
  </si>
  <si>
    <t>Fuel Oil</t>
  </si>
  <si>
    <t>Heating</t>
  </si>
  <si>
    <t>Biofuel portion of liquid fuel (%)</t>
  </si>
  <si>
    <t>Solid Biomass Demand (PJ)</t>
  </si>
  <si>
    <t>Industry BH</t>
  </si>
  <si>
    <t>Res/Com/Ag/Other Ind</t>
  </si>
  <si>
    <t>Cement &amp; lime</t>
  </si>
  <si>
    <t>Food proc boiler heat</t>
  </si>
  <si>
    <t>Potential solid biomass supply available for energy uses (PJ)</t>
  </si>
  <si>
    <t>Energy costs</t>
  </si>
  <si>
    <t>Household electricity price (c/kWh)</t>
  </si>
  <si>
    <t>Household gas ($/GJ)</t>
  </si>
  <si>
    <t>Road vehicle kilometres-travelled by vehicle type and engine type (bn km)</t>
  </si>
  <si>
    <t>Light passenger vehicle</t>
  </si>
  <si>
    <t>BEV</t>
  </si>
  <si>
    <t>PHEV</t>
  </si>
  <si>
    <t>FCEV</t>
  </si>
  <si>
    <t>Light commercial vehicle</t>
  </si>
  <si>
    <t>Motorcycle</t>
  </si>
  <si>
    <t>Medium truck</t>
  </si>
  <si>
    <t>Heavy truck</t>
  </si>
  <si>
    <t>Bus</t>
  </si>
  <si>
    <t>EV proportion of vehicles entering NZ (%)</t>
  </si>
  <si>
    <t>LPV New</t>
  </si>
  <si>
    <t>LPV Used</t>
  </si>
  <si>
    <t>EV proportion of vehicle numbers (%)</t>
  </si>
  <si>
    <t>All truck</t>
  </si>
  <si>
    <t>EV proportion of vehicle kilometres travelled (%)</t>
  </si>
  <si>
    <t>Light</t>
  </si>
  <si>
    <t>Heavy</t>
  </si>
  <si>
    <t>All</t>
  </si>
  <si>
    <t>Vehicle emissions intensity</t>
  </si>
  <si>
    <t>New (gCO2/km)</t>
  </si>
  <si>
    <t>Used (gCO2/km)</t>
  </si>
  <si>
    <t>All (gCO2/km)</t>
  </si>
  <si>
    <t>Number of vehicles in fleet (thousand)</t>
  </si>
  <si>
    <t>Heavy Truck</t>
  </si>
  <si>
    <t>Number of vehicles entering fleet (thousand)</t>
  </si>
  <si>
    <t>Land (agriculture and forestry)</t>
  </si>
  <si>
    <t>Agriculture emissions by activity and inventory category (ktCO2e)</t>
  </si>
  <si>
    <t>Dairy</t>
  </si>
  <si>
    <t>Enteric</t>
  </si>
  <si>
    <t>Manure mgmt</t>
  </si>
  <si>
    <t>Ag soils - excreta + other</t>
  </si>
  <si>
    <t>Ag soils - fertiliser</t>
  </si>
  <si>
    <t>Urea - CO2</t>
  </si>
  <si>
    <t>Liming</t>
  </si>
  <si>
    <t xml:space="preserve">Sheep and beef </t>
  </si>
  <si>
    <t>Other agriculture</t>
  </si>
  <si>
    <t>Field burning</t>
  </si>
  <si>
    <t>All Agriculture</t>
  </si>
  <si>
    <t>Agriculture emissions by gas and activity (ktCO2e)</t>
  </si>
  <si>
    <t>CO2</t>
  </si>
  <si>
    <t>N2O</t>
  </si>
  <si>
    <t>CH4</t>
  </si>
  <si>
    <t>All gases</t>
  </si>
  <si>
    <t>CH4 split</t>
  </si>
  <si>
    <t>Sheep and beef</t>
  </si>
  <si>
    <t>N2O split</t>
  </si>
  <si>
    <t>CO2 split</t>
  </si>
  <si>
    <t>Agricultural CH4 emissions by activity (ktCH4)</t>
  </si>
  <si>
    <t>Agricultural N20 emissions by activity (ktN20)</t>
  </si>
  <si>
    <t>Stock numbers (thousand)</t>
  </si>
  <si>
    <t>Dairy milking cows</t>
  </si>
  <si>
    <t>Sheep and beef 'stock units'</t>
  </si>
  <si>
    <t>Total beef cattle</t>
  </si>
  <si>
    <t>Total sheep</t>
  </si>
  <si>
    <t>Total dairy cattle</t>
  </si>
  <si>
    <t>Agriculture sector metrics</t>
  </si>
  <si>
    <t>Stocking rate (Milking cows / ha)</t>
  </si>
  <si>
    <t>MS per head (kg MS/hd)</t>
  </si>
  <si>
    <t>Bio emissions (kgCO2e/hd)</t>
  </si>
  <si>
    <t>ShpNBeef</t>
  </si>
  <si>
    <t>Stocking rate (SU/ha)</t>
  </si>
  <si>
    <t>Meat per SU (kg/SU)</t>
  </si>
  <si>
    <t>Bio emissions (kgCO2e/SU)</t>
  </si>
  <si>
    <t>Milk solids</t>
  </si>
  <si>
    <t>Dairy (kg x 10^9)</t>
  </si>
  <si>
    <t>Meat</t>
  </si>
  <si>
    <t>ShpNBeef (kg x 10^10)</t>
  </si>
  <si>
    <t>Fertiliser</t>
  </si>
  <si>
    <t>Total N fertiliser(million kg N)</t>
  </si>
  <si>
    <t>Land area by activity (Mha)</t>
  </si>
  <si>
    <t>Exotic Forestry</t>
  </si>
  <si>
    <t>Arable</t>
  </si>
  <si>
    <t>Post-1989 Native forest</t>
  </si>
  <si>
    <t>Retired</t>
  </si>
  <si>
    <t>P89 Exotic afforest</t>
  </si>
  <si>
    <t>P89 Native afforest</t>
  </si>
  <si>
    <t>Total deforestation</t>
  </si>
  <si>
    <t>Forests Sector output</t>
  </si>
  <si>
    <t>Forestry (million m3)</t>
  </si>
  <si>
    <t>Harvested timber (TRV)</t>
  </si>
  <si>
    <t>Waste emissions by inventory category (ktCO2e)</t>
  </si>
  <si>
    <t>5.A Solid Waste Disposal</t>
  </si>
  <si>
    <t>5.B Biological Treatment of Solid Waste</t>
  </si>
  <si>
    <t>5.C Incineration and Open Burning of Waste</t>
  </si>
  <si>
    <t>5.D Wastewater Treatment and Discharge</t>
  </si>
  <si>
    <t>Total waste</t>
  </si>
  <si>
    <t>Waste emissions by gas (ktCO2e)</t>
  </si>
  <si>
    <t>Waste sector metrics (kt)</t>
  </si>
  <si>
    <t>Waste to landfill</t>
  </si>
  <si>
    <t>Waste to compost</t>
  </si>
  <si>
    <t>Waste sent to AD</t>
  </si>
  <si>
    <t>Waste to recycling</t>
  </si>
  <si>
    <t>Waste to boiler fuel</t>
  </si>
  <si>
    <t>GWPs</t>
  </si>
  <si>
    <t>Source:</t>
  </si>
  <si>
    <t>https://ghgprotocol.org/sites/default/files/ghgp/Global-Warming-Potential-Values%20%28Feb%2016%202016%29_1.pdf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</si>
</sst>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_ ;[Red]\-#,##0\ "/>
    <numFmt numFmtId="168" formatCode="#,##0_ ;\-#,##0\ "/>
    <numFmt numFmtId="169" formatCode="0.0"/>
    <numFmt numFmtId="170" formatCode="#,##0.00_ ;[Red]\-#,##0.00\ "/>
    <numFmt numFmtId="171" formatCode="0.0%"/>
    <numFmt numFmtId="172" formatCode="#,##0.0_ ;[Red]\-#,##0.0\ "/>
    <numFmt numFmtId="173" formatCode="_-* #,##0.0_-;\-* #,##0.0_-;_-* &quot;-&quot;??_-;_-@_-"/>
    <numFmt numFmtId="174" formatCode="_-* #,##0_-;\-* #,##0_-;_-* &quot;-&quot;??_-;_-@_-"/>
    <numFmt numFmtId="175" formatCode="0.000"/>
    <numFmt numFmtId="176" formatCode="#,##0.0"/>
    <numFmt numFmtId="177" formatCode="yyyy"/>
    <numFmt numFmtId="178" formatCode="#,##0.000_ ;[Red]\-#,##0.000\ "/>
    <numFmt numFmtId="179" formatCode="&quot;$&quot;#,##0"/>
    <numFmt numFmtId="180" formatCode="_-&quot;$&quot;* #,##0_-;\-&quot;$&quot;* #,##0_-;_-&quot;$&quot;* &quot;-&quot;??_-;_-@_-"/>
    <numFmt numFmtId="181" formatCode="0_ ;\-0\ "/>
    <numFmt numFmtId="182" formatCode="0.0_ ;\-0.0\ "/>
    <numFmt numFmtId="183" formatCode="#,##0.0_ ;\-#,##0.0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i/>
      <sz val="11"/>
      <color rgb="FFFA7D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3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ACD3"/>
        <bgColor indexed="64"/>
      </patternFill>
    </fill>
    <fill>
      <patternFill patternType="solid">
        <fgColor rgb="FF003A5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46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1" applyNumberFormat="0" applyAlignment="0" applyProtection="0"/>
    <xf numFmtId="0" fontId="13" fillId="11" borderId="2" applyNumberFormat="0" applyAlignment="0" applyProtection="0"/>
    <xf numFmtId="0" fontId="14" fillId="11" borderId="1" applyNumberFormat="0" applyAlignment="0" applyProtection="0"/>
    <xf numFmtId="0" fontId="15" fillId="0" borderId="3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9" fillId="0" borderId="0"/>
    <xf numFmtId="0" fontId="43" fillId="0" borderId="0"/>
    <xf numFmtId="3" fontId="44" fillId="0" borderId="0"/>
    <xf numFmtId="3" fontId="4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9" fillId="0" borderId="0"/>
    <xf numFmtId="0" fontId="42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50">
    <xf numFmtId="0" fontId="0" fillId="0" borderId="0" xfId="0"/>
    <xf numFmtId="0" fontId="3" fillId="0" borderId="0" xfId="0" applyFont="1"/>
    <xf numFmtId="0" fontId="4" fillId="0" borderId="0" xfId="0" applyFont="1"/>
    <xf numFmtId="169" fontId="4" fillId="0" borderId="0" xfId="0" applyNumberFormat="1" applyFont="1"/>
    <xf numFmtId="0" fontId="6" fillId="0" borderId="0" xfId="0" applyFont="1"/>
    <xf numFmtId="167" fontId="0" fillId="0" borderId="0" xfId="0" applyNumberFormat="1"/>
    <xf numFmtId="9" fontId="0" fillId="0" borderId="0" xfId="0" applyNumberFormat="1"/>
    <xf numFmtId="169" fontId="0" fillId="0" borderId="0" xfId="0" applyNumberFormat="1"/>
    <xf numFmtId="171" fontId="0" fillId="0" borderId="0" xfId="0" applyNumberFormat="1"/>
    <xf numFmtId="172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67" fontId="0" fillId="0" borderId="0" xfId="1" applyFont="1"/>
    <xf numFmtId="0" fontId="12" fillId="10" borderId="1" xfId="8"/>
    <xf numFmtId="0" fontId="0" fillId="3" borderId="0" xfId="0" applyFill="1"/>
    <xf numFmtId="0" fontId="1" fillId="0" borderId="0" xfId="12"/>
    <xf numFmtId="2" fontId="0" fillId="0" borderId="0" xfId="0" applyNumberFormat="1"/>
    <xf numFmtId="0" fontId="10" fillId="0" borderId="0" xfId="6" applyFill="1"/>
    <xf numFmtId="0" fontId="0" fillId="2" borderId="0" xfId="0" applyFill="1"/>
    <xf numFmtId="0" fontId="0" fillId="4" borderId="0" xfId="0" applyFill="1"/>
    <xf numFmtId="0" fontId="3" fillId="14" borderId="0" xfId="0" applyFont="1" applyFill="1"/>
    <xf numFmtId="174" fontId="0" fillId="0" borderId="0" xfId="13" applyNumberFormat="1" applyFont="1"/>
    <xf numFmtId="173" fontId="0" fillId="0" borderId="0" xfId="13" applyNumberFormat="1" applyFont="1"/>
    <xf numFmtId="174" fontId="3" fillId="0" borderId="0" xfId="13" applyNumberFormat="1" applyFont="1" applyFill="1" applyBorder="1"/>
    <xf numFmtId="0" fontId="3" fillId="3" borderId="0" xfId="0" applyFont="1" applyFill="1"/>
    <xf numFmtId="166" fontId="0" fillId="0" borderId="0" xfId="13" applyFont="1"/>
    <xf numFmtId="9" fontId="12" fillId="10" borderId="1" xfId="8" applyNumberFormat="1"/>
    <xf numFmtId="0" fontId="4" fillId="0" borderId="0" xfId="6" applyFont="1" applyFill="1"/>
    <xf numFmtId="9" fontId="1" fillId="0" borderId="0" xfId="3" applyFont="1" applyFill="1"/>
    <xf numFmtId="0" fontId="3" fillId="2" borderId="0" xfId="0" applyFont="1" applyFill="1"/>
    <xf numFmtId="0" fontId="0" fillId="14" borderId="0" xfId="0" applyFill="1"/>
    <xf numFmtId="9" fontId="0" fillId="0" borderId="0" xfId="3" applyFont="1"/>
    <xf numFmtId="9" fontId="0" fillId="0" borderId="0" xfId="3" applyFont="1" applyFill="1"/>
    <xf numFmtId="0" fontId="13" fillId="11" borderId="2" xfId="9"/>
    <xf numFmtId="171" fontId="0" fillId="0" borderId="0" xfId="3" applyNumberFormat="1" applyFont="1"/>
    <xf numFmtId="167" fontId="1" fillId="0" borderId="0" xfId="1" applyFont="1" applyFill="1"/>
    <xf numFmtId="167" fontId="17" fillId="0" borderId="0" xfId="1" applyFont="1" applyFill="1"/>
    <xf numFmtId="0" fontId="3" fillId="16" borderId="0" xfId="0" applyFont="1" applyFill="1"/>
    <xf numFmtId="0" fontId="0" fillId="16" borderId="0" xfId="0" applyFill="1"/>
    <xf numFmtId="0" fontId="0" fillId="5" borderId="0" xfId="0" applyFill="1"/>
    <xf numFmtId="0" fontId="3" fillId="4" borderId="0" xfId="0" applyFont="1" applyFill="1"/>
    <xf numFmtId="0" fontId="3" fillId="17" borderId="0" xfId="0" applyFont="1" applyFill="1"/>
    <xf numFmtId="0" fontId="0" fillId="17" borderId="0" xfId="0" applyFill="1"/>
    <xf numFmtId="169" fontId="3" fillId="0" borderId="0" xfId="0" applyNumberFormat="1" applyFont="1"/>
    <xf numFmtId="0" fontId="3" fillId="5" borderId="0" xfId="0" applyFont="1" applyFill="1"/>
    <xf numFmtId="167" fontId="12" fillId="10" borderId="1" xfId="8" applyNumberFormat="1"/>
    <xf numFmtId="0" fontId="20" fillId="0" borderId="0" xfId="16"/>
    <xf numFmtId="173" fontId="0" fillId="0" borderId="0" xfId="0" applyNumberFormat="1"/>
    <xf numFmtId="0" fontId="3" fillId="0" borderId="0" xfId="0" applyFont="1" applyAlignment="1">
      <alignment wrapText="1"/>
    </xf>
    <xf numFmtId="166" fontId="0" fillId="0" borderId="0" xfId="13" applyFont="1" applyFill="1"/>
    <xf numFmtId="166" fontId="0" fillId="0" borderId="0" xfId="0" applyNumberFormat="1"/>
    <xf numFmtId="174" fontId="3" fillId="0" borderId="5" xfId="13" applyNumberFormat="1" applyFont="1" applyBorder="1"/>
    <xf numFmtId="9" fontId="0" fillId="16" borderId="0" xfId="3" applyFont="1" applyFill="1"/>
    <xf numFmtId="0" fontId="4" fillId="4" borderId="0" xfId="0" applyFont="1" applyFill="1"/>
    <xf numFmtId="0" fontId="3" fillId="0" borderId="5" xfId="0" applyFont="1" applyBorder="1"/>
    <xf numFmtId="0" fontId="3" fillId="19" borderId="0" xfId="0" applyFont="1" applyFill="1"/>
    <xf numFmtId="0" fontId="0" fillId="19" borderId="0" xfId="0" applyFill="1"/>
    <xf numFmtId="9" fontId="12" fillId="10" borderId="1" xfId="3" applyFont="1" applyFill="1" applyBorder="1"/>
    <xf numFmtId="9" fontId="12" fillId="0" borderId="0" xfId="3" applyFont="1" applyFill="1" applyBorder="1"/>
    <xf numFmtId="166" fontId="13" fillId="11" borderId="2" xfId="13" applyFont="1" applyFill="1" applyBorder="1"/>
    <xf numFmtId="166" fontId="3" fillId="0" borderId="0" xfId="13" applyFont="1"/>
    <xf numFmtId="0" fontId="16" fillId="14" borderId="6" xfId="0" applyFont="1" applyFill="1" applyBorder="1"/>
    <xf numFmtId="0" fontId="24" fillId="14" borderId="6" xfId="0" applyFont="1" applyFill="1" applyBorder="1"/>
    <xf numFmtId="0" fontId="24" fillId="0" borderId="0" xfId="0" applyFont="1"/>
    <xf numFmtId="0" fontId="13" fillId="0" borderId="0" xfId="9" applyFill="1" applyBorder="1"/>
    <xf numFmtId="0" fontId="0" fillId="0" borderId="4" xfId="0" applyBorder="1"/>
    <xf numFmtId="0" fontId="23" fillId="0" borderId="0" xfId="5" applyFont="1" applyFill="1"/>
    <xf numFmtId="0" fontId="23" fillId="0" borderId="0" xfId="0" applyFont="1"/>
    <xf numFmtId="0" fontId="3" fillId="0" borderId="4" xfId="0" applyFont="1" applyBorder="1"/>
    <xf numFmtId="173" fontId="0" fillId="0" borderId="0" xfId="13" applyNumberFormat="1" applyFont="1" applyAlignment="1">
      <alignment wrapText="1"/>
    </xf>
    <xf numFmtId="173" fontId="1" fillId="0" borderId="0" xfId="13" applyNumberFormat="1" applyFont="1" applyFill="1" applyBorder="1" applyAlignment="1">
      <alignment horizontal="right"/>
    </xf>
    <xf numFmtId="174" fontId="4" fillId="0" borderId="0" xfId="9" applyNumberFormat="1" applyFont="1" applyFill="1" applyBorder="1"/>
    <xf numFmtId="173" fontId="1" fillId="15" borderId="0" xfId="13" applyNumberFormat="1" applyFont="1" applyFill="1" applyBorder="1"/>
    <xf numFmtId="173" fontId="4" fillId="15" borderId="0" xfId="9" applyNumberFormat="1" applyFont="1" applyFill="1" applyBorder="1"/>
    <xf numFmtId="0" fontId="1" fillId="0" borderId="0" xfId="0" applyFont="1"/>
    <xf numFmtId="173" fontId="4" fillId="0" borderId="4" xfId="9" applyNumberFormat="1" applyFont="1" applyFill="1" applyBorder="1"/>
    <xf numFmtId="173" fontId="1" fillId="0" borderId="5" xfId="13" applyNumberFormat="1" applyFont="1" applyBorder="1" applyAlignment="1">
      <alignment wrapText="1"/>
    </xf>
    <xf numFmtId="173" fontId="3" fillId="0" borderId="5" xfId="13" applyNumberFormat="1" applyFont="1" applyFill="1" applyBorder="1" applyAlignment="1">
      <alignment wrapText="1"/>
    </xf>
    <xf numFmtId="173" fontId="3" fillId="15" borderId="0" xfId="13" applyNumberFormat="1" applyFont="1" applyFill="1"/>
    <xf numFmtId="173" fontId="1" fillId="15" borderId="0" xfId="13" applyNumberFormat="1" applyFont="1" applyFill="1"/>
    <xf numFmtId="173" fontId="0" fillId="0" borderId="5" xfId="13" applyNumberFormat="1" applyFont="1" applyBorder="1"/>
    <xf numFmtId="173" fontId="3" fillId="0" borderId="5" xfId="13" applyNumberFormat="1" applyFont="1" applyFill="1" applyBorder="1"/>
    <xf numFmtId="167" fontId="0" fillId="17" borderId="4" xfId="1" applyFont="1" applyFill="1" applyBorder="1" applyAlignment="1">
      <alignment wrapText="1"/>
    </xf>
    <xf numFmtId="167" fontId="13" fillId="11" borderId="2" xfId="1" applyFont="1" applyFill="1" applyBorder="1"/>
    <xf numFmtId="167" fontId="3" fillId="15" borderId="0" xfId="1" applyFont="1" applyFill="1"/>
    <xf numFmtId="167" fontId="3" fillId="5" borderId="8" xfId="1" applyFont="1" applyFill="1" applyBorder="1"/>
    <xf numFmtId="167" fontId="0" fillId="0" borderId="0" xfId="1" applyFont="1" applyFill="1"/>
    <xf numFmtId="167" fontId="3" fillId="0" borderId="0" xfId="1" applyFont="1"/>
    <xf numFmtId="167" fontId="0" fillId="3" borderId="0" xfId="1" applyFont="1" applyFill="1"/>
    <xf numFmtId="167" fontId="0" fillId="2" borderId="0" xfId="1" applyFont="1" applyFill="1"/>
    <xf numFmtId="167" fontId="0" fillId="14" borderId="0" xfId="1" applyFont="1" applyFill="1"/>
    <xf numFmtId="167" fontId="3" fillId="0" borderId="0" xfId="1" applyFont="1" applyFill="1" applyBorder="1"/>
    <xf numFmtId="167" fontId="3" fillId="0" borderId="0" xfId="1" applyFont="1" applyBorder="1"/>
    <xf numFmtId="167" fontId="3" fillId="3" borderId="0" xfId="1" applyFont="1" applyFill="1"/>
    <xf numFmtId="167" fontId="4" fillId="0" borderId="0" xfId="1" applyFont="1" applyFill="1"/>
    <xf numFmtId="167" fontId="17" fillId="0" borderId="0" xfId="1" applyFont="1"/>
    <xf numFmtId="167" fontId="3" fillId="2" borderId="0" xfId="1" applyFont="1" applyFill="1"/>
    <xf numFmtId="167" fontId="1" fillId="2" borderId="0" xfId="1" applyFont="1" applyFill="1"/>
    <xf numFmtId="167" fontId="3" fillId="0" borderId="0" xfId="1" applyFont="1" applyFill="1"/>
    <xf numFmtId="167" fontId="0" fillId="16" borderId="0" xfId="1" applyFont="1" applyFill="1"/>
    <xf numFmtId="167" fontId="1" fillId="16" borderId="0" xfId="1" applyFont="1" applyFill="1"/>
    <xf numFmtId="167" fontId="0" fillId="0" borderId="0" xfId="1" applyFont="1" applyFill="1" applyAlignment="1">
      <alignment wrapText="1"/>
    </xf>
    <xf numFmtId="167" fontId="17" fillId="0" borderId="0" xfId="1" applyFont="1" applyFill="1" applyAlignment="1">
      <alignment wrapText="1"/>
    </xf>
    <xf numFmtId="167" fontId="1" fillId="0" borderId="0" xfId="1" applyFont="1" applyFill="1" applyBorder="1" applyAlignment="1">
      <alignment wrapText="1"/>
    </xf>
    <xf numFmtId="167" fontId="2" fillId="0" borderId="0" xfId="1" applyFont="1" applyFill="1"/>
    <xf numFmtId="0" fontId="0" fillId="3" borderId="0" xfId="1" applyNumberFormat="1" applyFont="1" applyFill="1"/>
    <xf numFmtId="0" fontId="0" fillId="2" borderId="0" xfId="1" applyNumberFormat="1" applyFont="1" applyFill="1"/>
    <xf numFmtId="0" fontId="0" fillId="4" borderId="0" xfId="1" applyNumberFormat="1" applyFont="1" applyFill="1"/>
    <xf numFmtId="0" fontId="4" fillId="0" borderId="0" xfId="6" applyFont="1" applyFill="1" applyAlignment="1">
      <alignment wrapText="1"/>
    </xf>
    <xf numFmtId="167" fontId="12" fillId="10" borderId="1" xfId="1" applyFont="1" applyFill="1" applyBorder="1"/>
    <xf numFmtId="0" fontId="3" fillId="0" borderId="0" xfId="0" applyFont="1" applyAlignment="1">
      <alignment vertical="center"/>
    </xf>
    <xf numFmtId="173" fontId="0" fillId="0" borderId="0" xfId="13" applyNumberFormat="1" applyFont="1" applyFill="1"/>
    <xf numFmtId="0" fontId="0" fillId="0" borderId="0" xfId="0" applyAlignment="1">
      <alignment horizontal="right"/>
    </xf>
    <xf numFmtId="0" fontId="20" fillId="0" borderId="0" xfId="16" applyFill="1"/>
    <xf numFmtId="0" fontId="16" fillId="0" borderId="0" xfId="0" applyFont="1"/>
    <xf numFmtId="0" fontId="20" fillId="0" borderId="0" xfId="16" applyAlignment="1"/>
    <xf numFmtId="0" fontId="20" fillId="0" borderId="0" xfId="16" applyFill="1" applyAlignment="1"/>
    <xf numFmtId="0" fontId="3" fillId="0" borderId="0" xfId="0" applyFont="1" applyAlignment="1">
      <alignment horizontal="center" vertical="center"/>
    </xf>
    <xf numFmtId="0" fontId="26" fillId="0" borderId="0" xfId="16" applyFont="1" applyFill="1" applyAlignment="1"/>
    <xf numFmtId="0" fontId="3" fillId="0" borderId="0" xfId="0" applyFont="1" applyAlignment="1">
      <alignment horizontal="left"/>
    </xf>
    <xf numFmtId="172" fontId="1" fillId="0" borderId="0" xfId="1" applyNumberFormat="1" applyFont="1" applyFill="1"/>
    <xf numFmtId="172" fontId="0" fillId="0" borderId="0" xfId="1" applyNumberFormat="1" applyFont="1" applyFill="1" applyAlignment="1">
      <alignment wrapText="1"/>
    </xf>
    <xf numFmtId="172" fontId="1" fillId="0" borderId="0" xfId="1" applyNumberFormat="1" applyFont="1" applyFill="1" applyBorder="1" applyAlignment="1">
      <alignment wrapText="1"/>
    </xf>
    <xf numFmtId="172" fontId="0" fillId="0" borderId="0" xfId="1" applyNumberFormat="1" applyFont="1"/>
    <xf numFmtId="170" fontId="0" fillId="0" borderId="0" xfId="1" applyNumberFormat="1" applyFont="1"/>
    <xf numFmtId="0" fontId="16" fillId="14" borderId="0" xfId="0" applyFont="1" applyFill="1"/>
    <xf numFmtId="0" fontId="24" fillId="14" borderId="0" xfId="0" applyFont="1" applyFill="1"/>
    <xf numFmtId="173" fontId="16" fillId="0" borderId="0" xfId="13" applyNumberFormat="1" applyFont="1" applyFill="1" applyBorder="1"/>
    <xf numFmtId="167" fontId="13" fillId="11" borderId="2" xfId="9" applyNumberFormat="1"/>
    <xf numFmtId="169" fontId="0" fillId="3" borderId="0" xfId="0" applyNumberFormat="1" applyFill="1"/>
    <xf numFmtId="167" fontId="4" fillId="0" borderId="0" xfId="6" applyNumberFormat="1" applyFont="1" applyFill="1"/>
    <xf numFmtId="173" fontId="3" fillId="0" borderId="0" xfId="13" applyNumberFormat="1" applyFont="1" applyFill="1" applyBorder="1" applyAlignment="1">
      <alignment horizontal="right"/>
    </xf>
    <xf numFmtId="173" fontId="23" fillId="0" borderId="0" xfId="9" applyNumberFormat="1" applyFont="1" applyFill="1" applyBorder="1"/>
    <xf numFmtId="172" fontId="23" fillId="0" borderId="0" xfId="1" applyNumberFormat="1" applyFont="1" applyFill="1" applyBorder="1"/>
    <xf numFmtId="167" fontId="13" fillId="0" borderId="0" xfId="1" applyFont="1" applyFill="1" applyBorder="1"/>
    <xf numFmtId="0" fontId="4" fillId="18" borderId="0" xfId="0" applyFont="1" applyFill="1"/>
    <xf numFmtId="0" fontId="23" fillId="5" borderId="0" xfId="0" applyFont="1" applyFill="1"/>
    <xf numFmtId="0" fontId="4" fillId="5" borderId="0" xfId="0" applyFont="1" applyFill="1"/>
    <xf numFmtId="166" fontId="23" fillId="11" borderId="2" xfId="13" applyFont="1" applyFill="1" applyBorder="1"/>
    <xf numFmtId="167" fontId="4" fillId="0" borderId="3" xfId="11" applyNumberFormat="1" applyFont="1"/>
    <xf numFmtId="167" fontId="0" fillId="5" borderId="0" xfId="1" applyFont="1" applyFill="1"/>
    <xf numFmtId="167" fontId="4" fillId="0" borderId="0" xfId="1" applyFont="1"/>
    <xf numFmtId="172" fontId="4" fillId="11" borderId="1" xfId="1" applyNumberFormat="1" applyFont="1" applyFill="1" applyBorder="1"/>
    <xf numFmtId="3" fontId="12" fillId="10" borderId="1" xfId="8" applyNumberFormat="1"/>
    <xf numFmtId="0" fontId="0" fillId="20" borderId="0" xfId="0" applyFill="1"/>
    <xf numFmtId="167" fontId="0" fillId="20" borderId="0" xfId="1" applyFont="1" applyFill="1"/>
    <xf numFmtId="0" fontId="3" fillId="20" borderId="0" xfId="0" applyFont="1" applyFill="1"/>
    <xf numFmtId="167" fontId="1" fillId="15" borderId="0" xfId="1" applyFont="1" applyFill="1" applyBorder="1"/>
    <xf numFmtId="173" fontId="3" fillId="15" borderId="9" xfId="13" applyNumberFormat="1" applyFont="1" applyFill="1" applyBorder="1"/>
    <xf numFmtId="173" fontId="1" fillId="15" borderId="9" xfId="13" applyNumberFormat="1" applyFont="1" applyFill="1" applyBorder="1"/>
    <xf numFmtId="0" fontId="0" fillId="0" borderId="14" xfId="0" applyBorder="1"/>
    <xf numFmtId="0" fontId="0" fillId="0" borderId="13" xfId="0" applyBorder="1"/>
    <xf numFmtId="167" fontId="15" fillId="0" borderId="3" xfId="11" applyNumberFormat="1"/>
    <xf numFmtId="0" fontId="0" fillId="0" borderId="15" xfId="0" applyBorder="1"/>
    <xf numFmtId="1" fontId="0" fillId="0" borderId="15" xfId="0" applyNumberFormat="1" applyBorder="1"/>
    <xf numFmtId="0" fontId="0" fillId="22" borderId="0" xfId="0" applyFill="1"/>
    <xf numFmtId="0" fontId="3" fillId="22" borderId="0" xfId="0" applyFont="1" applyFill="1"/>
    <xf numFmtId="167" fontId="3" fillId="5" borderId="0" xfId="1" applyFont="1" applyFill="1"/>
    <xf numFmtId="172" fontId="3" fillId="0" borderId="0" xfId="1" applyNumberFormat="1" applyFont="1" applyFill="1" applyBorder="1"/>
    <xf numFmtId="15" fontId="0" fillId="0" borderId="0" xfId="0" applyNumberFormat="1"/>
    <xf numFmtId="174" fontId="0" fillId="0" borderId="0" xfId="13" applyNumberFormat="1" applyFont="1" applyFill="1" applyBorder="1"/>
    <xf numFmtId="0" fontId="0" fillId="0" borderId="0" xfId="0" applyAlignment="1">
      <alignment horizontal="center" vertical="center" wrapText="1"/>
    </xf>
    <xf numFmtId="174" fontId="0" fillId="0" borderId="0" xfId="0" applyNumberFormat="1"/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4" fontId="12" fillId="10" borderId="1" xfId="8" applyNumberFormat="1"/>
    <xf numFmtId="0" fontId="12" fillId="0" borderId="0" xfId="8" applyFill="1" applyBorder="1"/>
    <xf numFmtId="174" fontId="12" fillId="0" borderId="0" xfId="8" applyNumberFormat="1" applyFill="1" applyBorder="1"/>
    <xf numFmtId="167" fontId="13" fillId="0" borderId="0" xfId="9" applyNumberFormat="1" applyFill="1" applyBorder="1"/>
    <xf numFmtId="167" fontId="30" fillId="0" borderId="0" xfId="1" applyFont="1" applyFill="1" applyBorder="1"/>
    <xf numFmtId="167" fontId="30" fillId="0" borderId="0" xfId="8" applyNumberFormat="1" applyFont="1" applyFill="1" applyBorder="1"/>
    <xf numFmtId="9" fontId="14" fillId="0" borderId="0" xfId="10" applyNumberFormat="1" applyFill="1" applyBorder="1"/>
    <xf numFmtId="9" fontId="12" fillId="0" borderId="0" xfId="8" applyNumberFormat="1" applyFill="1" applyBorder="1"/>
    <xf numFmtId="167" fontId="3" fillId="0" borderId="0" xfId="0" applyNumberFormat="1" applyFont="1"/>
    <xf numFmtId="167" fontId="0" fillId="0" borderId="0" xfId="1" applyFont="1" applyBorder="1"/>
    <xf numFmtId="167" fontId="13" fillId="0" borderId="0" xfId="9" applyNumberFormat="1" applyFill="1" applyBorder="1" applyAlignment="1"/>
    <xf numFmtId="166" fontId="0" fillId="4" borderId="0" xfId="13" applyFont="1" applyFill="1"/>
    <xf numFmtId="173" fontId="0" fillId="0" borderId="0" xfId="13" applyNumberFormat="1" applyFont="1" applyAlignment="1">
      <alignment horizontal="right"/>
    </xf>
    <xf numFmtId="169" fontId="3" fillId="5" borderId="0" xfId="0" applyNumberFormat="1" applyFont="1" applyFill="1"/>
    <xf numFmtId="172" fontId="13" fillId="0" borderId="0" xfId="1" applyNumberFormat="1" applyFont="1" applyFill="1" applyBorder="1"/>
    <xf numFmtId="172" fontId="13" fillId="11" borderId="2" xfId="9" applyNumberFormat="1"/>
    <xf numFmtId="167" fontId="1" fillId="5" borderId="8" xfId="1" applyFont="1" applyFill="1" applyBorder="1"/>
    <xf numFmtId="172" fontId="23" fillId="5" borderId="8" xfId="1" applyNumberFormat="1" applyFont="1" applyFill="1" applyBorder="1"/>
    <xf numFmtId="0" fontId="3" fillId="5" borderId="12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0" fillId="0" borderId="0" xfId="0" applyAlignment="1">
      <alignment horizontal="left"/>
    </xf>
    <xf numFmtId="0" fontId="13" fillId="11" borderId="7" xfId="9" applyBorder="1" applyAlignment="1">
      <alignment horizontal="center" vertical="center" wrapText="1"/>
    </xf>
    <xf numFmtId="167" fontId="13" fillId="11" borderId="7" xfId="9" applyNumberFormat="1" applyBorder="1"/>
    <xf numFmtId="0" fontId="13" fillId="0" borderId="0" xfId="9" applyFill="1" applyBorder="1" applyAlignment="1">
      <alignment horizontal="center" vertical="center" wrapText="1"/>
    </xf>
    <xf numFmtId="167" fontId="9" fillId="7" borderId="0" xfId="5" applyNumberFormat="1"/>
    <xf numFmtId="0" fontId="9" fillId="7" borderId="0" xfId="5"/>
    <xf numFmtId="173" fontId="9" fillId="7" borderId="0" xfId="5" applyNumberFormat="1"/>
    <xf numFmtId="0" fontId="11" fillId="9" borderId="0" xfId="7"/>
    <xf numFmtId="167" fontId="10" fillId="8" borderId="0" xfId="6" applyNumberFormat="1"/>
    <xf numFmtId="167" fontId="0" fillId="4" borderId="4" xfId="1" applyFont="1" applyFill="1" applyBorder="1"/>
    <xf numFmtId="167" fontId="1" fillId="4" borderId="8" xfId="1" applyFont="1" applyFill="1" applyBorder="1"/>
    <xf numFmtId="172" fontId="23" fillId="4" borderId="4" xfId="1" applyNumberFormat="1" applyFont="1" applyFill="1" applyBorder="1"/>
    <xf numFmtId="172" fontId="23" fillId="5" borderId="4" xfId="1" applyNumberFormat="1" applyFont="1" applyFill="1" applyBorder="1"/>
    <xf numFmtId="172" fontId="0" fillId="0" borderId="0" xfId="1" applyNumberFormat="1" applyFont="1" applyFill="1"/>
    <xf numFmtId="167" fontId="1" fillId="0" borderId="0" xfId="1" applyFont="1"/>
    <xf numFmtId="170" fontId="0" fillId="0" borderId="0" xfId="1" applyNumberFormat="1" applyFont="1" applyFill="1"/>
    <xf numFmtId="172" fontId="11" fillId="9" borderId="0" xfId="7" applyNumberFormat="1"/>
    <xf numFmtId="172" fontId="9" fillId="7" borderId="0" xfId="5" applyNumberFormat="1"/>
    <xf numFmtId="172" fontId="10" fillId="8" borderId="0" xfId="6" applyNumberFormat="1"/>
    <xf numFmtId="172" fontId="4" fillId="20" borderId="0" xfId="7" applyNumberFormat="1" applyFont="1" applyFill="1"/>
    <xf numFmtId="172" fontId="4" fillId="20" borderId="0" xfId="5" applyNumberFormat="1" applyFont="1" applyFill="1"/>
    <xf numFmtId="167" fontId="4" fillId="20" borderId="0" xfId="5" applyNumberFormat="1" applyFont="1" applyFill="1"/>
    <xf numFmtId="173" fontId="4" fillId="20" borderId="0" xfId="13" applyNumberFormat="1" applyFont="1" applyFill="1"/>
    <xf numFmtId="173" fontId="4" fillId="20" borderId="0" xfId="5" applyNumberFormat="1" applyFont="1" applyFill="1"/>
    <xf numFmtId="0" fontId="3" fillId="20" borderId="0" xfId="0" applyFont="1" applyFill="1" applyAlignment="1">
      <alignment vertical="center"/>
    </xf>
    <xf numFmtId="0" fontId="32" fillId="8" borderId="0" xfId="6" applyFont="1"/>
    <xf numFmtId="0" fontId="23" fillId="22" borderId="0" xfId="6" applyFont="1" applyFill="1"/>
    <xf numFmtId="0" fontId="23" fillId="22" borderId="0" xfId="7" applyFont="1" applyFill="1"/>
    <xf numFmtId="0" fontId="23" fillId="20" borderId="0" xfId="7" applyFont="1" applyFill="1"/>
    <xf numFmtId="0" fontId="10" fillId="8" borderId="0" xfId="6" applyBorder="1" applyAlignment="1"/>
    <xf numFmtId="0" fontId="23" fillId="8" borderId="0" xfId="6" applyFont="1" applyBorder="1"/>
    <xf numFmtId="0" fontId="3" fillId="23" borderId="0" xfId="0" applyFont="1" applyFill="1"/>
    <xf numFmtId="0" fontId="0" fillId="23" borderId="0" xfId="0" applyFill="1"/>
    <xf numFmtId="169" fontId="0" fillId="20" borderId="0" xfId="0" applyNumberFormat="1" applyFill="1"/>
    <xf numFmtId="166" fontId="0" fillId="14" borderId="0" xfId="0" applyNumberFormat="1" applyFill="1"/>
    <xf numFmtId="166" fontId="16" fillId="0" borderId="0" xfId="13" applyFont="1" applyFill="1" applyBorder="1"/>
    <xf numFmtId="167" fontId="0" fillId="4" borderId="0" xfId="0" applyNumberFormat="1" applyFill="1"/>
    <xf numFmtId="0" fontId="0" fillId="0" borderId="18" xfId="0" applyBorder="1"/>
    <xf numFmtId="172" fontId="4" fillId="0" borderId="3" xfId="1" applyNumberFormat="1" applyFont="1" applyBorder="1"/>
    <xf numFmtId="169" fontId="4" fillId="0" borderId="3" xfId="11" applyNumberFormat="1" applyFont="1"/>
    <xf numFmtId="167" fontId="9" fillId="0" borderId="0" xfId="1" applyFont="1" applyFill="1"/>
    <xf numFmtId="14" fontId="3" fillId="0" borderId="0" xfId="0" applyNumberFormat="1" applyFont="1"/>
    <xf numFmtId="172" fontId="12" fillId="10" borderId="1" xfId="8" applyNumberFormat="1"/>
    <xf numFmtId="166" fontId="3" fillId="0" borderId="5" xfId="13" applyFont="1" applyBorder="1"/>
    <xf numFmtId="172" fontId="0" fillId="0" borderId="0" xfId="13" applyNumberFormat="1" applyFont="1" applyFill="1"/>
    <xf numFmtId="166" fontId="4" fillId="4" borderId="0" xfId="6" applyNumberFormat="1" applyFont="1" applyFill="1"/>
    <xf numFmtId="166" fontId="4" fillId="3" borderId="0" xfId="6" applyNumberFormat="1" applyFont="1" applyFill="1"/>
    <xf numFmtId="166" fontId="12" fillId="0" borderId="0" xfId="3" applyNumberFormat="1" applyFont="1" applyFill="1" applyBorder="1"/>
    <xf numFmtId="9" fontId="0" fillId="0" borderId="0" xfId="3" applyFont="1" applyFill="1" applyBorder="1"/>
    <xf numFmtId="0" fontId="33" fillId="0" borderId="0" xfId="0" applyFont="1"/>
    <xf numFmtId="167" fontId="23" fillId="0" borderId="0" xfId="6" applyNumberFormat="1" applyFont="1" applyFill="1"/>
    <xf numFmtId="167" fontId="23" fillId="0" borderId="0" xfId="1" applyFont="1" applyFill="1"/>
    <xf numFmtId="170" fontId="1" fillId="0" borderId="0" xfId="1" applyNumberFormat="1" applyFont="1" applyFill="1" applyBorder="1" applyAlignment="1">
      <alignment wrapText="1"/>
    </xf>
    <xf numFmtId="172" fontId="12" fillId="0" borderId="0" xfId="1" applyNumberFormat="1" applyFont="1" applyFill="1" applyBorder="1"/>
    <xf numFmtId="167" fontId="9" fillId="0" borderId="0" xfId="5" applyNumberFormat="1" applyFill="1"/>
    <xf numFmtId="172" fontId="0" fillId="0" borderId="0" xfId="1" applyNumberFormat="1" applyFont="1" applyAlignment="1">
      <alignment wrapText="1"/>
    </xf>
    <xf numFmtId="0" fontId="10" fillId="0" borderId="0" xfId="6" applyFill="1" applyBorder="1"/>
    <xf numFmtId="172" fontId="13" fillId="0" borderId="0" xfId="9" applyNumberFormat="1" applyFill="1" applyBorder="1"/>
    <xf numFmtId="167" fontId="0" fillId="17" borderId="22" xfId="1" applyFont="1" applyFill="1" applyBorder="1" applyAlignment="1">
      <alignment wrapText="1"/>
    </xf>
    <xf numFmtId="170" fontId="13" fillId="0" borderId="0" xfId="9" applyNumberFormat="1" applyFill="1" applyBorder="1"/>
    <xf numFmtId="9" fontId="23" fillId="0" borderId="0" xfId="3" applyFont="1" applyFill="1"/>
    <xf numFmtId="171" fontId="1" fillId="0" borderId="0" xfId="3" applyNumberFormat="1" applyFont="1" applyFill="1"/>
    <xf numFmtId="167" fontId="10" fillId="0" borderId="0" xfId="6" applyNumberFormat="1" applyFill="1"/>
    <xf numFmtId="167" fontId="8" fillId="0" borderId="0" xfId="0" applyNumberFormat="1" applyFont="1"/>
    <xf numFmtId="173" fontId="4" fillId="4" borderId="0" xfId="6" applyNumberFormat="1" applyFont="1" applyFill="1"/>
    <xf numFmtId="0" fontId="34" fillId="24" borderId="4" xfId="0" applyFont="1" applyFill="1" applyBorder="1"/>
    <xf numFmtId="172" fontId="3" fillId="0" borderId="4" xfId="1" applyNumberFormat="1" applyFont="1" applyBorder="1"/>
    <xf numFmtId="172" fontId="0" fillId="0" borderId="4" xfId="1" applyNumberFormat="1" applyFont="1" applyBorder="1"/>
    <xf numFmtId="167" fontId="8" fillId="0" borderId="0" xfId="1" applyFont="1" applyFill="1"/>
    <xf numFmtId="167" fontId="3" fillId="12" borderId="0" xfId="1" applyFont="1" applyFill="1"/>
    <xf numFmtId="167" fontId="11" fillId="9" borderId="0" xfId="7" applyNumberFormat="1"/>
    <xf numFmtId="0" fontId="3" fillId="26" borderId="4" xfId="0" applyFont="1" applyFill="1" applyBorder="1"/>
    <xf numFmtId="0" fontId="0" fillId="13" borderId="4" xfId="0" applyFill="1" applyBorder="1"/>
    <xf numFmtId="0" fontId="34" fillId="27" borderId="23" xfId="12" applyFont="1" applyFill="1" applyBorder="1"/>
    <xf numFmtId="0" fontId="34" fillId="27" borderId="0" xfId="12" applyFont="1" applyFill="1"/>
    <xf numFmtId="0" fontId="34" fillId="27" borderId="24" xfId="12" applyFont="1" applyFill="1" applyBorder="1"/>
    <xf numFmtId="0" fontId="16" fillId="26" borderId="0" xfId="0" applyFont="1" applyFill="1"/>
    <xf numFmtId="0" fontId="3" fillId="26" borderId="0" xfId="0" applyFont="1" applyFill="1"/>
    <xf numFmtId="0" fontId="0" fillId="26" borderId="0" xfId="0" applyFill="1"/>
    <xf numFmtId="0" fontId="0" fillId="26" borderId="15" xfId="0" applyFill="1" applyBorder="1"/>
    <xf numFmtId="3" fontId="0" fillId="0" borderId="15" xfId="0" applyNumberFormat="1" applyBorder="1"/>
    <xf numFmtId="1" fontId="0" fillId="0" borderId="25" xfId="0" applyNumberFormat="1" applyBorder="1"/>
    <xf numFmtId="2" fontId="0" fillId="0" borderId="15" xfId="0" applyNumberFormat="1" applyBorder="1"/>
    <xf numFmtId="0" fontId="34" fillId="0" borderId="23" xfId="12" applyFont="1" applyBorder="1"/>
    <xf numFmtId="0" fontId="34" fillId="0" borderId="0" xfId="12" applyFont="1"/>
    <xf numFmtId="0" fontId="34" fillId="0" borderId="24" xfId="12" applyFont="1" applyBorder="1"/>
    <xf numFmtId="174" fontId="0" fillId="0" borderId="0" xfId="18" applyNumberFormat="1" applyFont="1"/>
    <xf numFmtId="174" fontId="0" fillId="0" borderId="15" xfId="18" applyNumberFormat="1" applyFont="1" applyBorder="1"/>
    <xf numFmtId="174" fontId="0" fillId="0" borderId="0" xfId="18" applyNumberFormat="1" applyFont="1" applyBorder="1"/>
    <xf numFmtId="0" fontId="35" fillId="0" borderId="0" xfId="0" applyFont="1"/>
    <xf numFmtId="174" fontId="35" fillId="0" borderId="0" xfId="18" applyNumberFormat="1" applyFont="1"/>
    <xf numFmtId="174" fontId="35" fillId="0" borderId="0" xfId="18" applyNumberFormat="1" applyFont="1" applyBorder="1"/>
    <xf numFmtId="174" fontId="35" fillId="0" borderId="15" xfId="18" applyNumberFormat="1" applyFont="1" applyBorder="1"/>
    <xf numFmtId="0" fontId="23" fillId="0" borderId="0" xfId="12" applyFont="1"/>
    <xf numFmtId="0" fontId="3" fillId="0" borderId="23" xfId="12" applyFont="1" applyBorder="1"/>
    <xf numFmtId="0" fontId="36" fillId="0" borderId="0" xfId="0" applyFont="1"/>
    <xf numFmtId="174" fontId="36" fillId="0" borderId="0" xfId="0" applyNumberFormat="1" applyFont="1"/>
    <xf numFmtId="174" fontId="36" fillId="0" borderId="15" xfId="0" applyNumberFormat="1" applyFont="1" applyBorder="1"/>
    <xf numFmtId="9" fontId="36" fillId="0" borderId="0" xfId="3" applyFont="1"/>
    <xf numFmtId="171" fontId="36" fillId="0" borderId="0" xfId="3" applyNumberFormat="1" applyFont="1"/>
    <xf numFmtId="9" fontId="0" fillId="0" borderId="0" xfId="3" applyFont="1" applyBorder="1"/>
    <xf numFmtId="9" fontId="0" fillId="0" borderId="15" xfId="3" applyFont="1" applyBorder="1"/>
    <xf numFmtId="1" fontId="0" fillId="0" borderId="0" xfId="3" applyNumberFormat="1" applyFont="1"/>
    <xf numFmtId="1" fontId="0" fillId="0" borderId="0" xfId="3" applyNumberFormat="1" applyFont="1" applyBorder="1"/>
    <xf numFmtId="1" fontId="0" fillId="0" borderId="15" xfId="3" applyNumberFormat="1" applyFont="1" applyBorder="1"/>
    <xf numFmtId="174" fontId="0" fillId="0" borderId="15" xfId="0" applyNumberFormat="1" applyBorder="1"/>
    <xf numFmtId="9" fontId="0" fillId="0" borderId="15" xfId="0" applyNumberFormat="1" applyBorder="1"/>
    <xf numFmtId="0" fontId="34" fillId="28" borderId="23" xfId="12" applyFont="1" applyFill="1" applyBorder="1"/>
    <xf numFmtId="0" fontId="0" fillId="28" borderId="0" xfId="0" applyFill="1"/>
    <xf numFmtId="174" fontId="0" fillId="28" borderId="0" xfId="18" applyNumberFormat="1" applyFont="1" applyFill="1"/>
    <xf numFmtId="174" fontId="0" fillId="28" borderId="0" xfId="18" applyNumberFormat="1" applyFont="1" applyFill="1" applyBorder="1"/>
    <xf numFmtId="174" fontId="0" fillId="28" borderId="15" xfId="18" applyNumberFormat="1" applyFont="1" applyFill="1" applyBorder="1"/>
    <xf numFmtId="2" fontId="0" fillId="0" borderId="0" xfId="3" applyNumberFormat="1" applyFont="1"/>
    <xf numFmtId="2" fontId="0" fillId="0" borderId="0" xfId="3" applyNumberFormat="1" applyFont="1" applyBorder="1"/>
    <xf numFmtId="2" fontId="0" fillId="0" borderId="15" xfId="3" applyNumberFormat="1" applyFont="1" applyBorder="1"/>
    <xf numFmtId="173" fontId="0" fillId="0" borderId="0" xfId="18" applyNumberFormat="1" applyFont="1"/>
    <xf numFmtId="173" fontId="0" fillId="0" borderId="0" xfId="18" applyNumberFormat="1" applyFont="1" applyBorder="1"/>
    <xf numFmtId="173" fontId="0" fillId="0" borderId="15" xfId="18" applyNumberFormat="1" applyFont="1" applyBorder="1"/>
    <xf numFmtId="171" fontId="3" fillId="0" borderId="0" xfId="3" applyNumberFormat="1" applyFont="1" applyAlignment="1">
      <alignment wrapText="1"/>
    </xf>
    <xf numFmtId="9" fontId="12" fillId="10" borderId="1" xfId="8" applyNumberFormat="1" applyAlignment="1">
      <alignment wrapText="1"/>
    </xf>
    <xf numFmtId="174" fontId="0" fillId="0" borderId="0" xfId="13" applyNumberFormat="1" applyFont="1" applyFill="1"/>
    <xf numFmtId="167" fontId="1" fillId="0" borderId="0" xfId="1" applyFont="1" applyBorder="1"/>
    <xf numFmtId="174" fontId="0" fillId="0" borderId="0" xfId="18" applyNumberFormat="1" applyFont="1" applyFill="1"/>
    <xf numFmtId="167" fontId="12" fillId="10" borderId="1" xfId="1" applyFont="1" applyFill="1" applyBorder="1" applyAlignment="1">
      <alignment wrapText="1"/>
    </xf>
    <xf numFmtId="167" fontId="0" fillId="0" borderId="0" xfId="1" applyFont="1" applyAlignment="1">
      <alignment wrapText="1"/>
    </xf>
    <xf numFmtId="0" fontId="3" fillId="29" borderId="0" xfId="0" applyFont="1" applyFill="1"/>
    <xf numFmtId="0" fontId="0" fillId="29" borderId="0" xfId="0" applyFill="1"/>
    <xf numFmtId="1" fontId="0" fillId="29" borderId="0" xfId="0" applyNumberFormat="1" applyFill="1"/>
    <xf numFmtId="0" fontId="0" fillId="30" borderId="0" xfId="0" applyFill="1"/>
    <xf numFmtId="0" fontId="0" fillId="30" borderId="0" xfId="0" applyFill="1" applyAlignment="1">
      <alignment wrapText="1"/>
    </xf>
    <xf numFmtId="167" fontId="0" fillId="30" borderId="0" xfId="1" applyFont="1" applyFill="1"/>
    <xf numFmtId="0" fontId="3" fillId="30" borderId="0" xfId="0" applyFont="1" applyFill="1"/>
    <xf numFmtId="0" fontId="3" fillId="32" borderId="0" xfId="0" applyFont="1" applyFill="1"/>
    <xf numFmtId="0" fontId="7" fillId="0" borderId="0" xfId="6" applyFont="1" applyFill="1"/>
    <xf numFmtId="1" fontId="8" fillId="0" borderId="0" xfId="0" applyNumberFormat="1" applyFont="1"/>
    <xf numFmtId="0" fontId="8" fillId="0" borderId="0" xfId="0" applyFont="1"/>
    <xf numFmtId="0" fontId="37" fillId="0" borderId="0" xfId="6" applyFont="1" applyFill="1"/>
    <xf numFmtId="1" fontId="37" fillId="0" borderId="0" xfId="0" applyNumberFormat="1" applyFont="1"/>
    <xf numFmtId="170" fontId="0" fillId="0" borderId="0" xfId="0" applyNumberFormat="1"/>
    <xf numFmtId="167" fontId="13" fillId="0" borderId="0" xfId="9" applyNumberFormat="1" applyFill="1" applyBorder="1" applyAlignment="1">
      <alignment horizontal="center"/>
    </xf>
    <xf numFmtId="172" fontId="10" fillId="0" borderId="0" xfId="6" applyNumberFormat="1" applyFill="1"/>
    <xf numFmtId="173" fontId="4" fillId="0" borderId="0" xfId="13" applyNumberFormat="1" applyFont="1" applyFill="1"/>
    <xf numFmtId="167" fontId="1" fillId="0" borderId="0" xfId="1" applyFill="1"/>
    <xf numFmtId="0" fontId="23" fillId="18" borderId="0" xfId="0" applyFont="1" applyFill="1"/>
    <xf numFmtId="167" fontId="0" fillId="3" borderId="0" xfId="0" applyNumberFormat="1" applyFill="1"/>
    <xf numFmtId="0" fontId="0" fillId="0" borderId="0" xfId="12" applyFont="1"/>
    <xf numFmtId="9" fontId="0" fillId="20" borderId="0" xfId="3" applyFont="1" applyFill="1"/>
    <xf numFmtId="0" fontId="38" fillId="0" borderId="0" xfId="12" applyFont="1"/>
    <xf numFmtId="167" fontId="38" fillId="0" borderId="0" xfId="1" applyFont="1"/>
    <xf numFmtId="167" fontId="38" fillId="0" borderId="0" xfId="1" applyFont="1" applyFill="1"/>
    <xf numFmtId="167" fontId="38" fillId="9" borderId="0" xfId="7" applyNumberFormat="1" applyFont="1"/>
    <xf numFmtId="0" fontId="38" fillId="0" borderId="0" xfId="0" applyFont="1"/>
    <xf numFmtId="167" fontId="0" fillId="0" borderId="0" xfId="1" applyFont="1" applyFill="1" applyBorder="1"/>
    <xf numFmtId="172" fontId="4" fillId="0" borderId="0" xfId="1" applyNumberFormat="1" applyFont="1" applyFill="1" applyBorder="1"/>
    <xf numFmtId="167" fontId="1" fillId="0" borderId="0" xfId="0" applyNumberFormat="1" applyFont="1"/>
    <xf numFmtId="10" fontId="3" fillId="3" borderId="0" xfId="3" applyNumberFormat="1" applyFont="1" applyFill="1"/>
    <xf numFmtId="9" fontId="1" fillId="0" borderId="0" xfId="3" applyFill="1"/>
    <xf numFmtId="167" fontId="8" fillId="5" borderId="0" xfId="1" applyFont="1" applyFill="1"/>
    <xf numFmtId="0" fontId="3" fillId="21" borderId="0" xfId="0" applyFont="1" applyFill="1"/>
    <xf numFmtId="0" fontId="0" fillId="21" borderId="0" xfId="0" applyFill="1"/>
    <xf numFmtId="172" fontId="0" fillId="21" borderId="0" xfId="0" applyNumberFormat="1" applyFill="1"/>
    <xf numFmtId="172" fontId="3" fillId="0" borderId="0" xfId="0" applyNumberFormat="1" applyFont="1"/>
    <xf numFmtId="167" fontId="15" fillId="0" borderId="0" xfId="11" applyNumberFormat="1" applyFill="1" applyBorder="1"/>
    <xf numFmtId="0" fontId="15" fillId="0" borderId="0" xfId="11" applyFill="1" applyBorder="1"/>
    <xf numFmtId="167" fontId="12" fillId="0" borderId="0" xfId="8" applyNumberFormat="1" applyFill="1" applyBorder="1"/>
    <xf numFmtId="172" fontId="12" fillId="0" borderId="0" xfId="8" applyNumberFormat="1" applyFill="1" applyBorder="1" applyAlignment="1">
      <alignment horizontal="center"/>
    </xf>
    <xf numFmtId="9" fontId="13" fillId="0" borderId="0" xfId="3" applyFont="1" applyFill="1" applyBorder="1"/>
    <xf numFmtId="0" fontId="2" fillId="0" borderId="0" xfId="0" applyFont="1"/>
    <xf numFmtId="9" fontId="8" fillId="0" borderId="0" xfId="3" applyFont="1" applyFill="1"/>
    <xf numFmtId="0" fontId="2" fillId="3" borderId="0" xfId="0" applyFont="1" applyFill="1"/>
    <xf numFmtId="0" fontId="8" fillId="3" borderId="0" xfId="0" applyFont="1" applyFill="1"/>
    <xf numFmtId="170" fontId="0" fillId="0" borderId="0" xfId="1" applyNumberFormat="1" applyFont="1" applyFill="1" applyBorder="1"/>
    <xf numFmtId="167" fontId="4" fillId="5" borderId="2" xfId="6" applyNumberFormat="1" applyFont="1" applyFill="1" applyBorder="1" applyAlignment="1">
      <alignment wrapText="1"/>
    </xf>
    <xf numFmtId="9" fontId="0" fillId="6" borderId="19" xfId="0" applyNumberFormat="1" applyFill="1" applyBorder="1"/>
    <xf numFmtId="169" fontId="0" fillId="22" borderId="17" xfId="0" applyNumberFormat="1" applyFill="1" applyBorder="1"/>
    <xf numFmtId="0" fontId="0" fillId="22" borderId="29" xfId="0" applyFill="1" applyBorder="1"/>
    <xf numFmtId="0" fontId="0" fillId="22" borderId="18" xfId="0" applyFill="1" applyBorder="1"/>
    <xf numFmtId="0" fontId="3" fillId="22" borderId="19" xfId="0" applyFont="1" applyFill="1" applyBorder="1"/>
    <xf numFmtId="0" fontId="0" fillId="22" borderId="20" xfId="0" applyFill="1" applyBorder="1"/>
    <xf numFmtId="169" fontId="0" fillId="22" borderId="19" xfId="0" applyNumberFormat="1" applyFill="1" applyBorder="1"/>
    <xf numFmtId="169" fontId="0" fillId="22" borderId="0" xfId="0" applyNumberFormat="1" applyFill="1"/>
    <xf numFmtId="169" fontId="3" fillId="22" borderId="19" xfId="0" applyNumberFormat="1" applyFont="1" applyFill="1" applyBorder="1"/>
    <xf numFmtId="169" fontId="3" fillId="22" borderId="19" xfId="0" applyNumberFormat="1" applyFont="1" applyFill="1" applyBorder="1" applyAlignment="1">
      <alignment horizontal="left"/>
    </xf>
    <xf numFmtId="167" fontId="0" fillId="22" borderId="0" xfId="1" applyFont="1" applyFill="1" applyBorder="1"/>
    <xf numFmtId="167" fontId="3" fillId="22" borderId="0" xfId="0" applyNumberFormat="1" applyFont="1" applyFill="1"/>
    <xf numFmtId="0" fontId="3" fillId="22" borderId="20" xfId="0" applyFont="1" applyFill="1" applyBorder="1"/>
    <xf numFmtId="0" fontId="3" fillId="22" borderId="21" xfId="0" applyFont="1" applyFill="1" applyBorder="1"/>
    <xf numFmtId="0" fontId="23" fillId="5" borderId="0" xfId="5" applyFont="1" applyFill="1"/>
    <xf numFmtId="167" fontId="3" fillId="5" borderId="0" xfId="0" applyNumberFormat="1" applyFont="1" applyFill="1"/>
    <xf numFmtId="0" fontId="0" fillId="6" borderId="28" xfId="0" applyFill="1" applyBorder="1"/>
    <xf numFmtId="173" fontId="1" fillId="0" borderId="0" xfId="13" applyNumberFormat="1" applyFont="1" applyBorder="1" applyAlignment="1">
      <alignment horizontal="right"/>
    </xf>
    <xf numFmtId="173" fontId="1" fillId="0" borderId="0" xfId="13" applyNumberFormat="1" applyFont="1" applyFill="1" applyBorder="1"/>
    <xf numFmtId="172" fontId="10" fillId="0" borderId="0" xfId="6" applyNumberFormat="1" applyFill="1" applyBorder="1"/>
    <xf numFmtId="171" fontId="0" fillId="0" borderId="0" xfId="3" applyNumberFormat="1" applyFont="1" applyFill="1"/>
    <xf numFmtId="0" fontId="3" fillId="0" borderId="0" xfId="0" applyFont="1" applyAlignment="1">
      <alignment horizontal="left" vertical="center"/>
    </xf>
    <xf numFmtId="172" fontId="0" fillId="0" borderId="0" xfId="1" applyNumberFormat="1" applyFont="1" applyFill="1" applyAlignment="1">
      <alignment horizontal="left"/>
    </xf>
    <xf numFmtId="172" fontId="0" fillId="0" borderId="0" xfId="1" applyNumberFormat="1" applyFont="1" applyFill="1" applyBorder="1" applyAlignment="1">
      <alignment horizontal="left"/>
    </xf>
    <xf numFmtId="172" fontId="4" fillId="0" borderId="0" xfId="1" applyNumberFormat="1" applyFont="1" applyFill="1" applyBorder="1" applyAlignment="1">
      <alignment horizontal="left"/>
    </xf>
    <xf numFmtId="172" fontId="13" fillId="0" borderId="0" xfId="1" applyNumberFormat="1" applyFont="1" applyFill="1" applyBorder="1" applyAlignment="1">
      <alignment horizontal="left"/>
    </xf>
    <xf numFmtId="172" fontId="3" fillId="0" borderId="0" xfId="1" applyNumberFormat="1" applyFont="1" applyFill="1" applyAlignment="1">
      <alignment horizontal="left"/>
    </xf>
    <xf numFmtId="172" fontId="13" fillId="0" borderId="0" xfId="1" applyNumberFormat="1" applyFont="1" applyFill="1" applyBorder="1" applyAlignment="1"/>
    <xf numFmtId="0" fontId="20" fillId="0" borderId="0" xfId="16" applyFill="1" applyBorder="1"/>
    <xf numFmtId="0" fontId="3" fillId="25" borderId="0" xfId="0" applyFont="1" applyFill="1"/>
    <xf numFmtId="0" fontId="0" fillId="22" borderId="17" xfId="0" applyFill="1" applyBorder="1"/>
    <xf numFmtId="0" fontId="0" fillId="22" borderId="30" xfId="0" applyFill="1" applyBorder="1"/>
    <xf numFmtId="9" fontId="40" fillId="0" borderId="0" xfId="3" applyFont="1"/>
    <xf numFmtId="0" fontId="3" fillId="34" borderId="0" xfId="0" applyFont="1" applyFill="1"/>
    <xf numFmtId="0" fontId="0" fillId="0" borderId="32" xfId="0" applyBorder="1"/>
    <xf numFmtId="0" fontId="3" fillId="12" borderId="0" xfId="0" applyFont="1" applyFill="1"/>
    <xf numFmtId="167" fontId="0" fillId="0" borderId="0" xfId="1" applyFont="1" applyFill="1" applyBorder="1" applyAlignment="1"/>
    <xf numFmtId="167" fontId="13" fillId="0" borderId="0" xfId="1" applyFont="1" applyFill="1" applyBorder="1" applyAlignment="1"/>
    <xf numFmtId="0" fontId="0" fillId="33" borderId="0" xfId="0" applyFill="1"/>
    <xf numFmtId="172" fontId="0" fillId="0" borderId="0" xfId="1" applyNumberFormat="1" applyFont="1" applyFill="1" applyBorder="1"/>
    <xf numFmtId="9" fontId="8" fillId="0" borderId="0" xfId="3" applyFont="1"/>
    <xf numFmtId="170" fontId="0" fillId="30" borderId="0" xfId="1" applyNumberFormat="1" applyFont="1" applyFill="1" applyBorder="1"/>
    <xf numFmtId="0" fontId="33" fillId="0" borderId="0" xfId="0" applyFont="1" applyAlignment="1">
      <alignment vertical="center"/>
    </xf>
    <xf numFmtId="9" fontId="13" fillId="11" borderId="2" xfId="9" applyNumberFormat="1"/>
    <xf numFmtId="167" fontId="23" fillId="12" borderId="0" xfId="7" applyNumberFormat="1" applyFont="1" applyFill="1"/>
    <xf numFmtId="172" fontId="16" fillId="14" borderId="6" xfId="1" applyNumberFormat="1" applyFont="1" applyFill="1" applyBorder="1"/>
    <xf numFmtId="172" fontId="16" fillId="14" borderId="0" xfId="1" applyNumberFormat="1" applyFont="1" applyFill="1" applyBorder="1"/>
    <xf numFmtId="172" fontId="16" fillId="21" borderId="0" xfId="1" applyNumberFormat="1" applyFont="1" applyFill="1" applyBorder="1"/>
    <xf numFmtId="166" fontId="3" fillId="0" borderId="0" xfId="13" applyFont="1" applyFill="1"/>
    <xf numFmtId="172" fontId="3" fillId="0" borderId="0" xfId="1" applyNumberFormat="1" applyFont="1" applyBorder="1"/>
    <xf numFmtId="172" fontId="0" fillId="0" borderId="0" xfId="1" applyNumberFormat="1" applyFont="1" applyBorder="1"/>
    <xf numFmtId="172" fontId="13" fillId="31" borderId="2" xfId="9" applyNumberFormat="1" applyFill="1"/>
    <xf numFmtId="15" fontId="4" fillId="0" borderId="0" xfId="7" applyNumberFormat="1" applyFont="1" applyFill="1"/>
    <xf numFmtId="0" fontId="4" fillId="0" borderId="0" xfId="7" applyFont="1" applyFill="1" applyBorder="1"/>
    <xf numFmtId="49" fontId="0" fillId="0" borderId="0" xfId="0" applyNumberFormat="1"/>
    <xf numFmtId="172" fontId="23" fillId="16" borderId="4" xfId="1" applyNumberFormat="1" applyFont="1" applyFill="1" applyBorder="1"/>
    <xf numFmtId="172" fontId="23" fillId="16" borderId="8" xfId="1" applyNumberFormat="1" applyFont="1" applyFill="1" applyBorder="1"/>
    <xf numFmtId="172" fontId="0" fillId="0" borderId="4" xfId="0" applyNumberFormat="1" applyBorder="1"/>
    <xf numFmtId="9" fontId="0" fillId="0" borderId="4" xfId="3" applyFont="1" applyBorder="1"/>
    <xf numFmtId="169" fontId="0" fillId="0" borderId="4" xfId="0" applyNumberFormat="1" applyBorder="1"/>
    <xf numFmtId="169" fontId="3" fillId="0" borderId="4" xfId="0" applyNumberFormat="1" applyFont="1" applyBorder="1"/>
    <xf numFmtId="167" fontId="1" fillId="6" borderId="0" xfId="1" applyFont="1" applyFill="1"/>
    <xf numFmtId="167" fontId="11" fillId="6" borderId="0" xfId="7" applyNumberFormat="1" applyFill="1"/>
    <xf numFmtId="167" fontId="4" fillId="18" borderId="0" xfId="0" applyNumberFormat="1" applyFont="1" applyFill="1"/>
    <xf numFmtId="0" fontId="3" fillId="35" borderId="0" xfId="0" applyFont="1" applyFill="1"/>
    <xf numFmtId="14" fontId="3" fillId="30" borderId="0" xfId="0" applyNumberFormat="1" applyFont="1" applyFill="1"/>
    <xf numFmtId="14" fontId="3" fillId="2" borderId="0" xfId="0" applyNumberFormat="1" applyFont="1" applyFill="1"/>
    <xf numFmtId="167" fontId="0" fillId="2" borderId="0" xfId="1" applyFont="1" applyFill="1" applyBorder="1"/>
    <xf numFmtId="167" fontId="0" fillId="30" borderId="0" xfId="1" applyFont="1" applyFill="1" applyBorder="1"/>
    <xf numFmtId="0" fontId="4" fillId="0" borderId="0" xfId="6" applyFont="1" applyFill="1" applyBorder="1"/>
    <xf numFmtId="176" fontId="12" fillId="0" borderId="0" xfId="8" applyNumberFormat="1" applyFill="1" applyBorder="1"/>
    <xf numFmtId="3" fontId="12" fillId="0" borderId="0" xfId="8" applyNumberFormat="1" applyFill="1" applyBorder="1"/>
    <xf numFmtId="0" fontId="1" fillId="5" borderId="0" xfId="1" applyNumberFormat="1" applyFont="1" applyFill="1"/>
    <xf numFmtId="172" fontId="3" fillId="0" borderId="4" xfId="0" applyNumberFormat="1" applyFont="1" applyBorder="1"/>
    <xf numFmtId="167" fontId="46" fillId="3" borderId="0" xfId="1" applyFont="1" applyFill="1"/>
    <xf numFmtId="175" fontId="0" fillId="0" borderId="0" xfId="0" applyNumberFormat="1"/>
    <xf numFmtId="178" fontId="0" fillId="0" borderId="0" xfId="1" applyNumberFormat="1" applyFont="1"/>
    <xf numFmtId="169" fontId="0" fillId="0" borderId="0" xfId="1" applyNumberFormat="1" applyFont="1" applyFill="1"/>
    <xf numFmtId="172" fontId="0" fillId="0" borderId="4" xfId="1" applyNumberFormat="1" applyFont="1" applyFill="1" applyBorder="1"/>
    <xf numFmtId="172" fontId="3" fillId="0" borderId="0" xfId="1" applyNumberFormat="1" applyFont="1" applyFill="1"/>
    <xf numFmtId="165" fontId="10" fillId="8" borderId="0" xfId="6" applyNumberFormat="1"/>
    <xf numFmtId="165" fontId="9" fillId="7" borderId="0" xfId="5" applyNumberFormat="1"/>
    <xf numFmtId="165" fontId="0" fillId="20" borderId="0" xfId="4" applyFont="1" applyFill="1"/>
    <xf numFmtId="173" fontId="0" fillId="17" borderId="0" xfId="13" applyNumberFormat="1" applyFont="1" applyFill="1"/>
    <xf numFmtId="3" fontId="4" fillId="0" borderId="0" xfId="6" applyNumberFormat="1" applyFont="1" applyFill="1"/>
    <xf numFmtId="172" fontId="1" fillId="0" borderId="0" xfId="1" applyNumberFormat="1" applyFont="1"/>
    <xf numFmtId="167" fontId="4" fillId="0" borderId="0" xfId="7" applyNumberFormat="1" applyFont="1" applyFill="1"/>
    <xf numFmtId="0" fontId="3" fillId="0" borderId="9" xfId="0" applyFont="1" applyBorder="1"/>
    <xf numFmtId="0" fontId="0" fillId="0" borderId="9" xfId="0" applyBorder="1"/>
    <xf numFmtId="0" fontId="34" fillId="24" borderId="12" xfId="0" applyFont="1" applyFill="1" applyBorder="1"/>
    <xf numFmtId="172" fontId="3" fillId="0" borderId="12" xfId="1" applyNumberFormat="1" applyFont="1" applyBorder="1"/>
    <xf numFmtId="172" fontId="0" fillId="0" borderId="12" xfId="1" applyNumberFormat="1" applyFont="1" applyBorder="1"/>
    <xf numFmtId="0" fontId="39" fillId="0" borderId="4" xfId="0" applyFont="1" applyBorder="1"/>
    <xf numFmtId="0" fontId="34" fillId="24" borderId="4" xfId="6" applyFont="1" applyFill="1" applyBorder="1"/>
    <xf numFmtId="3" fontId="6" fillId="0" borderId="0" xfId="0" applyNumberFormat="1" applyFont="1" applyAlignment="1">
      <alignment horizontal="right" vertical="center"/>
    </xf>
    <xf numFmtId="0" fontId="47" fillId="0" borderId="0" xfId="0" applyFont="1" applyAlignment="1">
      <alignment vertical="center"/>
    </xf>
    <xf numFmtId="0" fontId="34" fillId="0" borderId="0" xfId="0" applyFont="1"/>
    <xf numFmtId="173" fontId="3" fillId="0" borderId="0" xfId="0" applyNumberFormat="1" applyFont="1"/>
    <xf numFmtId="0" fontId="16" fillId="4" borderId="0" xfId="0" applyFont="1" applyFill="1"/>
    <xf numFmtId="0" fontId="24" fillId="4" borderId="0" xfId="0" applyFont="1" applyFill="1"/>
    <xf numFmtId="173" fontId="16" fillId="4" borderId="0" xfId="13" applyNumberFormat="1" applyFont="1" applyFill="1" applyBorder="1"/>
    <xf numFmtId="166" fontId="16" fillId="4" borderId="0" xfId="13" applyFont="1" applyFill="1" applyBorder="1"/>
    <xf numFmtId="174" fontId="30" fillId="0" borderId="0" xfId="8" applyNumberFormat="1" applyFont="1" applyFill="1" applyBorder="1"/>
    <xf numFmtId="3" fontId="30" fillId="0" borderId="0" xfId="8" applyNumberFormat="1" applyFont="1" applyFill="1" applyBorder="1"/>
    <xf numFmtId="174" fontId="31" fillId="0" borderId="0" xfId="10" applyNumberFormat="1" applyFont="1" applyFill="1" applyBorder="1"/>
    <xf numFmtId="167" fontId="31" fillId="0" borderId="0" xfId="10" applyNumberFormat="1" applyFont="1" applyFill="1" applyBorder="1"/>
    <xf numFmtId="167" fontId="3" fillId="4" borderId="0" xfId="0" applyNumberFormat="1" applyFont="1" applyFill="1"/>
    <xf numFmtId="177" fontId="3" fillId="3" borderId="0" xfId="0" applyNumberFormat="1" applyFont="1" applyFill="1"/>
    <xf numFmtId="178" fontId="3" fillId="0" borderId="0" xfId="1" applyNumberFormat="1" applyFont="1" applyFill="1"/>
    <xf numFmtId="178" fontId="0" fillId="20" borderId="0" xfId="1" applyNumberFormat="1" applyFont="1" applyFill="1"/>
    <xf numFmtId="178" fontId="0" fillId="22" borderId="0" xfId="1" applyNumberFormat="1" applyFont="1" applyFill="1"/>
    <xf numFmtId="178" fontId="0" fillId="0" borderId="0" xfId="1" applyNumberFormat="1" applyFont="1" applyFill="1" applyBorder="1"/>
    <xf numFmtId="172" fontId="1" fillId="0" borderId="0" xfId="1" applyNumberFormat="1" applyFont="1" applyFill="1" applyBorder="1"/>
    <xf numFmtId="9" fontId="1" fillId="0" borderId="0" xfId="3" applyFont="1"/>
    <xf numFmtId="0" fontId="1" fillId="0" borderId="0" xfId="13" applyNumberFormat="1" applyFont="1"/>
    <xf numFmtId="170" fontId="1" fillId="0" borderId="0" xfId="1" applyNumberFormat="1" applyFont="1" applyFill="1"/>
    <xf numFmtId="0" fontId="1" fillId="0" borderId="4" xfId="0" applyFont="1" applyBorder="1" applyAlignment="1">
      <alignment vertical="center"/>
    </xf>
    <xf numFmtId="9" fontId="0" fillId="0" borderId="4" xfId="0" applyNumberFormat="1" applyBorder="1"/>
    <xf numFmtId="0" fontId="0" fillId="0" borderId="4" xfId="0" applyBorder="1" applyAlignment="1">
      <alignment vertical="center"/>
    </xf>
    <xf numFmtId="0" fontId="3" fillId="0" borderId="17" xfId="0" applyFont="1" applyBorder="1"/>
    <xf numFmtId="0" fontId="0" fillId="0" borderId="29" xfId="0" applyBorder="1"/>
    <xf numFmtId="0" fontId="3" fillId="0" borderId="29" xfId="0" applyFont="1" applyBorder="1"/>
    <xf numFmtId="0" fontId="3" fillId="0" borderId="18" xfId="0" applyFont="1" applyBorder="1"/>
    <xf numFmtId="0" fontId="0" fillId="0" borderId="19" xfId="0" applyBorder="1"/>
    <xf numFmtId="0" fontId="3" fillId="0" borderId="20" xfId="0" applyFont="1" applyBorder="1"/>
    <xf numFmtId="0" fontId="0" fillId="0" borderId="20" xfId="0" applyBorder="1"/>
    <xf numFmtId="167" fontId="1" fillId="0" borderId="0" xfId="1" applyFont="1" applyFill="1" applyBorder="1"/>
    <xf numFmtId="167" fontId="3" fillId="0" borderId="20" xfId="0" applyNumberFormat="1" applyFont="1" applyBorder="1"/>
    <xf numFmtId="0" fontId="3" fillId="0" borderId="19" xfId="0" applyFont="1" applyBorder="1"/>
    <xf numFmtId="167" fontId="1" fillId="0" borderId="19" xfId="1" applyFont="1" applyFill="1" applyBorder="1"/>
    <xf numFmtId="167" fontId="0" fillId="0" borderId="19" xfId="1" applyFont="1" applyFill="1" applyBorder="1"/>
    <xf numFmtId="167" fontId="0" fillId="0" borderId="20" xfId="1" applyFont="1" applyFill="1" applyBorder="1"/>
    <xf numFmtId="167" fontId="0" fillId="0" borderId="19" xfId="0" applyNumberFormat="1" applyBorder="1"/>
    <xf numFmtId="167" fontId="3" fillId="0" borderId="19" xfId="1" applyFont="1" applyFill="1" applyBorder="1"/>
    <xf numFmtId="172" fontId="13" fillId="0" borderId="0" xfId="1" applyNumberFormat="1" applyFont="1" applyFill="1" applyBorder="1" applyAlignment="1">
      <alignment wrapText="1"/>
    </xf>
    <xf numFmtId="167" fontId="4" fillId="15" borderId="6" xfId="1" applyFont="1" applyFill="1" applyBorder="1"/>
    <xf numFmtId="172" fontId="4" fillId="15" borderId="10" xfId="1" applyNumberFormat="1" applyFont="1" applyFill="1" applyBorder="1"/>
    <xf numFmtId="0" fontId="49" fillId="24" borderId="4" xfId="0" applyFont="1" applyFill="1" applyBorder="1"/>
    <xf numFmtId="0" fontId="34" fillId="24" borderId="4" xfId="0" applyFont="1" applyFill="1" applyBorder="1" applyAlignment="1">
      <alignment wrapText="1"/>
    </xf>
    <xf numFmtId="172" fontId="34" fillId="24" borderId="4" xfId="1" applyNumberFormat="1" applyFont="1" applyFill="1" applyBorder="1" applyAlignment="1">
      <alignment wrapText="1"/>
    </xf>
    <xf numFmtId="0" fontId="34" fillId="24" borderId="4" xfId="0" applyFont="1" applyFill="1" applyBorder="1" applyAlignment="1">
      <alignment horizontal="left" vertical="center" indent="1"/>
    </xf>
    <xf numFmtId="172" fontId="0" fillId="0" borderId="4" xfId="1" applyNumberFormat="1" applyFont="1" applyBorder="1" applyAlignment="1">
      <alignment vertical="center" wrapText="1"/>
    </xf>
    <xf numFmtId="176" fontId="0" fillId="0" borderId="4" xfId="1" applyNumberFormat="1" applyFont="1" applyBorder="1" applyAlignment="1">
      <alignment wrapText="1"/>
    </xf>
    <xf numFmtId="176" fontId="0" fillId="0" borderId="4" xfId="0" applyNumberFormat="1" applyBorder="1" applyAlignment="1">
      <alignment wrapText="1"/>
    </xf>
    <xf numFmtId="169" fontId="0" fillId="0" borderId="0" xfId="0" applyNumberFormat="1" applyAlignment="1">
      <alignment wrapText="1"/>
    </xf>
    <xf numFmtId="169" fontId="34" fillId="24" borderId="4" xfId="0" applyNumberFormat="1" applyFont="1" applyFill="1" applyBorder="1"/>
    <xf numFmtId="0" fontId="39" fillId="0" borderId="0" xfId="0" applyFont="1"/>
    <xf numFmtId="0" fontId="45" fillId="0" borderId="4" xfId="0" applyFont="1" applyBorder="1"/>
    <xf numFmtId="169" fontId="0" fillId="0" borderId="4" xfId="0" applyNumberFormat="1" applyBorder="1" applyAlignment="1">
      <alignment wrapText="1"/>
    </xf>
    <xf numFmtId="0" fontId="34" fillId="24" borderId="0" xfId="0" applyFont="1" applyFill="1"/>
    <xf numFmtId="180" fontId="0" fillId="0" borderId="4" xfId="4" applyNumberFormat="1" applyFont="1" applyBorder="1"/>
    <xf numFmtId="179" fontId="0" fillId="0" borderId="4" xfId="4" applyNumberFormat="1" applyFont="1" applyBorder="1"/>
    <xf numFmtId="0" fontId="3" fillId="17" borderId="0" xfId="0" applyFont="1" applyFill="1" applyAlignment="1">
      <alignment wrapText="1"/>
    </xf>
    <xf numFmtId="0" fontId="0" fillId="17" borderId="0" xfId="0" applyFill="1" applyAlignment="1">
      <alignment wrapText="1"/>
    </xf>
    <xf numFmtId="0" fontId="23" fillId="0" borderId="0" xfId="6" applyFont="1" applyFill="1"/>
    <xf numFmtId="167" fontId="15" fillId="0" borderId="0" xfId="1" applyFont="1" applyFill="1" applyBorder="1"/>
    <xf numFmtId="0" fontId="3" fillId="36" borderId="0" xfId="0" applyFont="1" applyFill="1"/>
    <xf numFmtId="172" fontId="13" fillId="36" borderId="0" xfId="1" applyNumberFormat="1" applyFont="1" applyFill="1" applyBorder="1"/>
    <xf numFmtId="0" fontId="0" fillId="36" borderId="0" xfId="0" applyFill="1"/>
    <xf numFmtId="172" fontId="25" fillId="0" borderId="0" xfId="1" applyNumberFormat="1" applyFont="1" applyFill="1" applyBorder="1"/>
    <xf numFmtId="0" fontId="3" fillId="4" borderId="0" xfId="0" applyFont="1" applyFill="1" applyAlignment="1">
      <alignment wrapText="1"/>
    </xf>
    <xf numFmtId="0" fontId="20" fillId="3" borderId="0" xfId="16" applyFill="1"/>
    <xf numFmtId="167" fontId="11" fillId="0" borderId="0" xfId="1" applyFont="1" applyFill="1"/>
    <xf numFmtId="167" fontId="10" fillId="0" borderId="0" xfId="1" applyFont="1" applyFill="1"/>
    <xf numFmtId="172" fontId="11" fillId="0" borderId="0" xfId="7" applyNumberFormat="1" applyFill="1"/>
    <xf numFmtId="167" fontId="50" fillId="0" borderId="0" xfId="1" applyFont="1" applyFill="1"/>
    <xf numFmtId="0" fontId="3" fillId="22" borderId="18" xfId="0" applyFont="1" applyFill="1" applyBorder="1"/>
    <xf numFmtId="167" fontId="0" fillId="20" borderId="0" xfId="0" applyNumberFormat="1" applyFill="1"/>
    <xf numFmtId="0" fontId="3" fillId="0" borderId="0" xfId="0" applyFont="1" applyAlignment="1">
      <alignment horizontal="right"/>
    </xf>
    <xf numFmtId="167" fontId="0" fillId="22" borderId="20" xfId="1" applyFont="1" applyFill="1" applyBorder="1"/>
    <xf numFmtId="169" fontId="3" fillId="22" borderId="21" xfId="0" applyNumberFormat="1" applyFont="1" applyFill="1" applyBorder="1" applyAlignment="1">
      <alignment horizontal="left"/>
    </xf>
    <xf numFmtId="167" fontId="1" fillId="22" borderId="30" xfId="1" applyFont="1" applyFill="1" applyBorder="1"/>
    <xf numFmtId="167" fontId="1" fillId="22" borderId="31" xfId="1" applyFont="1" applyFill="1" applyBorder="1"/>
    <xf numFmtId="172" fontId="11" fillId="9" borderId="2" xfId="7" applyNumberFormat="1" applyBorder="1"/>
    <xf numFmtId="0" fontId="3" fillId="5" borderId="0" xfId="0" applyFont="1" applyFill="1" applyAlignment="1">
      <alignment wrapText="1"/>
    </xf>
    <xf numFmtId="0" fontId="3" fillId="0" borderId="10" xfId="0" applyFont="1" applyBorder="1" applyAlignment="1">
      <alignment wrapText="1"/>
    </xf>
    <xf numFmtId="167" fontId="3" fillId="31" borderId="10" xfId="1" applyFont="1" applyFill="1" applyBorder="1"/>
    <xf numFmtId="167" fontId="11" fillId="9" borderId="10" xfId="7" applyNumberFormat="1" applyBorder="1"/>
    <xf numFmtId="9" fontId="39" fillId="0" borderId="0" xfId="0" applyNumberFormat="1" applyFont="1"/>
    <xf numFmtId="9" fontId="39" fillId="0" borderId="0" xfId="3" applyFont="1"/>
    <xf numFmtId="0" fontId="4" fillId="0" borderId="0" xfId="7" applyFont="1" applyFill="1"/>
    <xf numFmtId="169" fontId="39" fillId="0" borderId="0" xfId="0" applyNumberFormat="1" applyFont="1"/>
    <xf numFmtId="172" fontId="8" fillId="0" borderId="0" xfId="0" applyNumberFormat="1" applyFont="1"/>
    <xf numFmtId="172" fontId="34" fillId="24" borderId="4" xfId="1" applyNumberFormat="1" applyFont="1" applyFill="1" applyBorder="1"/>
    <xf numFmtId="169" fontId="6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48" fillId="0" borderId="0" xfId="0" applyFont="1" applyAlignment="1">
      <alignment horizontal="left" vertical="center" wrapText="1" indent="2"/>
    </xf>
    <xf numFmtId="0" fontId="48" fillId="0" borderId="4" xfId="0" applyFont="1" applyBorder="1" applyAlignment="1">
      <alignment horizontal="left" vertical="center" wrapText="1" indent="2"/>
    </xf>
    <xf numFmtId="172" fontId="1" fillId="0" borderId="4" xfId="1" applyNumberFormat="1" applyFont="1" applyBorder="1" applyAlignment="1">
      <alignment vertical="center" wrapText="1"/>
    </xf>
    <xf numFmtId="0" fontId="34" fillId="24" borderId="4" xfId="0" applyFont="1" applyFill="1" applyBorder="1" applyAlignment="1">
      <alignment vertical="center" wrapText="1"/>
    </xf>
    <xf numFmtId="0" fontId="34" fillId="24" borderId="4" xfId="1" applyNumberFormat="1" applyFont="1" applyFill="1" applyBorder="1"/>
    <xf numFmtId="167" fontId="0" fillId="31" borderId="0" xfId="1" applyFont="1" applyFill="1" applyBorder="1"/>
    <xf numFmtId="9" fontId="4" fillId="0" borderId="1" xfId="8" applyNumberFormat="1" applyFont="1" applyFill="1" applyAlignment="1">
      <alignment wrapText="1"/>
    </xf>
    <xf numFmtId="172" fontId="4" fillId="0" borderId="0" xfId="7" applyNumberFormat="1" applyFont="1" applyFill="1"/>
    <xf numFmtId="0" fontId="4" fillId="4" borderId="0" xfId="7" applyFont="1" applyFill="1"/>
    <xf numFmtId="166" fontId="4" fillId="4" borderId="0" xfId="7" applyNumberFormat="1" applyFont="1" applyFill="1"/>
    <xf numFmtId="172" fontId="7" fillId="0" borderId="0" xfId="7" applyNumberFormat="1" applyFont="1" applyFill="1"/>
    <xf numFmtId="171" fontId="13" fillId="0" borderId="0" xfId="9" applyNumberFormat="1" applyFill="1" applyBorder="1"/>
    <xf numFmtId="1" fontId="4" fillId="0" borderId="0" xfId="6" applyNumberFormat="1" applyFont="1" applyFill="1"/>
    <xf numFmtId="171" fontId="12" fillId="10" borderId="1" xfId="8" applyNumberFormat="1"/>
    <xf numFmtId="171" fontId="12" fillId="10" borderId="1" xfId="8" applyNumberFormat="1" applyAlignment="1">
      <alignment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51" fillId="0" borderId="0" xfId="0" applyFont="1"/>
    <xf numFmtId="0" fontId="45" fillId="0" borderId="0" xfId="0" applyFont="1"/>
    <xf numFmtId="167" fontId="8" fillId="16" borderId="0" xfId="1" applyFont="1" applyFill="1"/>
    <xf numFmtId="169" fontId="0" fillId="0" borderId="21" xfId="0" applyNumberFormat="1" applyBorder="1" applyAlignment="1">
      <alignment horizontal="right"/>
    </xf>
    <xf numFmtId="169" fontId="0" fillId="0" borderId="30" xfId="0" applyNumberFormat="1" applyBorder="1" applyAlignment="1">
      <alignment horizontal="right"/>
    </xf>
    <xf numFmtId="169" fontId="0" fillId="0" borderId="31" xfId="0" applyNumberFormat="1" applyBorder="1" applyAlignment="1">
      <alignment horizontal="right"/>
    </xf>
    <xf numFmtId="172" fontId="0" fillId="5" borderId="0" xfId="1" applyNumberFormat="1" applyFont="1" applyFill="1" applyBorder="1"/>
    <xf numFmtId="9" fontId="0" fillId="5" borderId="0" xfId="3" applyFont="1" applyFill="1" applyBorder="1"/>
    <xf numFmtId="0" fontId="3" fillId="17" borderId="12" xfId="0" applyFont="1" applyFill="1" applyBorder="1" applyAlignment="1">
      <alignment horizontal="center"/>
    </xf>
    <xf numFmtId="0" fontId="3" fillId="17" borderId="11" xfId="0" applyFont="1" applyFill="1" applyBorder="1" applyAlignment="1">
      <alignment horizontal="center"/>
    </xf>
    <xf numFmtId="0" fontId="13" fillId="11" borderId="35" xfId="9" applyBorder="1" applyAlignment="1">
      <alignment horizontal="center"/>
    </xf>
    <xf numFmtId="0" fontId="0" fillId="0" borderId="0" xfId="3" applyNumberFormat="1" applyFont="1"/>
    <xf numFmtId="0" fontId="3" fillId="22" borderId="20" xfId="0" applyFont="1" applyFill="1" applyBorder="1" applyAlignment="1">
      <alignment wrapText="1"/>
    </xf>
    <xf numFmtId="167" fontId="3" fillId="22" borderId="20" xfId="1" applyFont="1" applyFill="1" applyBorder="1"/>
    <xf numFmtId="167" fontId="3" fillId="22" borderId="31" xfId="1" applyFont="1" applyFill="1" applyBorder="1"/>
    <xf numFmtId="0" fontId="10" fillId="0" borderId="0" xfId="6" applyNumberFormat="1" applyFill="1"/>
    <xf numFmtId="167" fontId="46" fillId="0" borderId="0" xfId="1" applyFont="1" applyFill="1"/>
    <xf numFmtId="167" fontId="23" fillId="0" borderId="0" xfId="7" applyNumberFormat="1" applyFont="1" applyFill="1"/>
    <xf numFmtId="167" fontId="11" fillId="0" borderId="0" xfId="7" applyNumberFormat="1" applyFill="1"/>
    <xf numFmtId="0" fontId="1" fillId="0" borderId="0" xfId="1" applyNumberFormat="1" applyFont="1" applyFill="1"/>
    <xf numFmtId="178" fontId="0" fillId="0" borderId="0" xfId="1" applyNumberFormat="1" applyFont="1" applyFill="1"/>
    <xf numFmtId="177" fontId="3" fillId="0" borderId="0" xfId="0" applyNumberFormat="1" applyFont="1"/>
    <xf numFmtId="0" fontId="12" fillId="0" borderId="1" xfId="8" applyFill="1" applyAlignment="1">
      <alignment wrapText="1"/>
    </xf>
    <xf numFmtId="0" fontId="9" fillId="0" borderId="0" xfId="5" applyFill="1" applyAlignment="1">
      <alignment wrapText="1"/>
    </xf>
    <xf numFmtId="167" fontId="13" fillId="11" borderId="7" xfId="1" applyFont="1" applyFill="1" applyBorder="1"/>
    <xf numFmtId="167" fontId="12" fillId="10" borderId="36" xfId="1" applyFont="1" applyFill="1" applyBorder="1" applyAlignment="1">
      <alignment wrapText="1"/>
    </xf>
    <xf numFmtId="172" fontId="12" fillId="10" borderId="36" xfId="8" applyNumberFormat="1" applyBorder="1"/>
    <xf numFmtId="167" fontId="12" fillId="0" borderId="0" xfId="1" applyFont="1" applyFill="1" applyBorder="1" applyAlignment="1">
      <alignment wrapText="1"/>
    </xf>
    <xf numFmtId="167" fontId="0" fillId="0" borderId="0" xfId="1" applyFont="1" applyFill="1" applyBorder="1" applyAlignment="1">
      <alignment wrapText="1"/>
    </xf>
    <xf numFmtId="172" fontId="12" fillId="0" borderId="0" xfId="8" applyNumberFormat="1" applyFill="1" applyBorder="1"/>
    <xf numFmtId="167" fontId="4" fillId="0" borderId="0" xfId="6" applyNumberFormat="1" applyFont="1" applyFill="1" applyBorder="1"/>
    <xf numFmtId="171" fontId="4" fillId="0" borderId="0" xfId="3" applyNumberFormat="1" applyFont="1" applyFill="1" applyBorder="1"/>
    <xf numFmtId="9" fontId="4" fillId="0" borderId="0" xfId="3" applyFont="1" applyFill="1" applyBorder="1"/>
    <xf numFmtId="167" fontId="7" fillId="0" borderId="0" xfId="6" applyNumberFormat="1" applyFont="1" applyFill="1" applyBorder="1"/>
    <xf numFmtId="10" fontId="0" fillId="0" borderId="0" xfId="0" applyNumberFormat="1"/>
    <xf numFmtId="171" fontId="0" fillId="0" borderId="0" xfId="3" applyNumberFormat="1" applyFont="1" applyFill="1" applyBorder="1"/>
    <xf numFmtId="10" fontId="0" fillId="0" borderId="0" xfId="3" applyNumberFormat="1" applyFont="1" applyFill="1" applyBorder="1"/>
    <xf numFmtId="4" fontId="11" fillId="0" borderId="0" xfId="7" applyNumberFormat="1" applyFill="1" applyAlignment="1">
      <alignment horizontal="right"/>
    </xf>
    <xf numFmtId="0" fontId="11" fillId="0" borderId="0" xfId="7" applyFill="1"/>
    <xf numFmtId="174" fontId="35" fillId="0" borderId="0" xfId="18" applyNumberFormat="1" applyFont="1" applyFill="1"/>
    <xf numFmtId="1" fontId="0" fillId="0" borderId="0" xfId="3" applyNumberFormat="1" applyFont="1" applyFill="1"/>
    <xf numFmtId="43" fontId="0" fillId="0" borderId="0" xfId="18" applyFont="1" applyFill="1"/>
    <xf numFmtId="2" fontId="0" fillId="0" borderId="0" xfId="3" applyNumberFormat="1" applyFont="1" applyFill="1"/>
    <xf numFmtId="174" fontId="0" fillId="0" borderId="0" xfId="18" applyNumberFormat="1" applyFont="1" applyFill="1" applyBorder="1"/>
    <xf numFmtId="173" fontId="0" fillId="0" borderId="0" xfId="18" applyNumberFormat="1" applyFont="1" applyFill="1"/>
    <xf numFmtId="0" fontId="27" fillId="0" borderId="0" xfId="0" applyFont="1"/>
    <xf numFmtId="167" fontId="3" fillId="0" borderId="0" xfId="13" applyNumberFormat="1" applyFont="1" applyFill="1" applyBorder="1"/>
    <xf numFmtId="172" fontId="0" fillId="0" borderId="0" xfId="13" applyNumberFormat="1" applyFont="1" applyFill="1" applyBorder="1"/>
    <xf numFmtId="4" fontId="0" fillId="0" borderId="0" xfId="0" applyNumberFormat="1"/>
    <xf numFmtId="4" fontId="3" fillId="0" borderId="0" xfId="0" applyNumberFormat="1" applyFont="1"/>
    <xf numFmtId="167" fontId="0" fillId="0" borderId="0" xfId="13" applyNumberFormat="1" applyFont="1" applyFill="1" applyBorder="1"/>
    <xf numFmtId="166" fontId="23" fillId="11" borderId="7" xfId="13" applyFont="1" applyFill="1" applyBorder="1"/>
    <xf numFmtId="172" fontId="4" fillId="11" borderId="36" xfId="1" applyNumberFormat="1" applyFont="1" applyFill="1" applyBorder="1"/>
    <xf numFmtId="9" fontId="9" fillId="0" borderId="0" xfId="5" applyNumberFormat="1" applyFill="1" applyBorder="1"/>
    <xf numFmtId="167" fontId="38" fillId="0" borderId="0" xfId="7" applyNumberFormat="1" applyFont="1" applyFill="1" applyBorder="1"/>
    <xf numFmtId="167" fontId="38" fillId="0" borderId="0" xfId="1" applyFont="1" applyFill="1" applyBorder="1"/>
    <xf numFmtId="9" fontId="1" fillId="0" borderId="0" xfId="3" applyFill="1" applyBorder="1"/>
    <xf numFmtId="0" fontId="11" fillId="0" borderId="0" xfId="7" applyFill="1" applyBorder="1"/>
    <xf numFmtId="167" fontId="4" fillId="0" borderId="0" xfId="11" applyNumberFormat="1" applyFont="1" applyFill="1" applyBorder="1"/>
    <xf numFmtId="167" fontId="11" fillId="0" borderId="0" xfId="7" applyNumberFormat="1" applyFill="1" applyBorder="1"/>
    <xf numFmtId="9" fontId="11" fillId="0" borderId="0" xfId="7" applyNumberFormat="1" applyFill="1" applyBorder="1"/>
    <xf numFmtId="169" fontId="4" fillId="0" borderId="0" xfId="11" applyNumberFormat="1" applyFont="1" applyFill="1" applyBorder="1"/>
    <xf numFmtId="169" fontId="11" fillId="0" borderId="0" xfId="7" applyNumberFormat="1" applyFill="1" applyBorder="1"/>
    <xf numFmtId="172" fontId="11" fillId="0" borderId="0" xfId="7" applyNumberFormat="1" applyFill="1" applyBorder="1"/>
    <xf numFmtId="166" fontId="23" fillId="0" borderId="0" xfId="13" applyFont="1" applyFill="1" applyBorder="1"/>
    <xf numFmtId="10" fontId="3" fillId="0" borderId="0" xfId="3" applyNumberFormat="1" applyFont="1" applyFill="1" applyBorder="1"/>
    <xf numFmtId="169" fontId="0" fillId="0" borderId="12" xfId="0" applyNumberFormat="1" applyBorder="1"/>
    <xf numFmtId="172" fontId="0" fillId="0" borderId="12" xfId="0" applyNumberFormat="1" applyBorder="1"/>
    <xf numFmtId="0" fontId="4" fillId="0" borderId="0" xfId="1" applyNumberFormat="1" applyFont="1"/>
    <xf numFmtId="1" fontId="4" fillId="0" borderId="0" xfId="1" applyNumberFormat="1" applyFont="1"/>
    <xf numFmtId="1" fontId="13" fillId="11" borderId="2" xfId="9" applyNumberFormat="1"/>
    <xf numFmtId="1" fontId="23" fillId="11" borderId="2" xfId="9" applyNumberFormat="1" applyFont="1"/>
    <xf numFmtId="1" fontId="52" fillId="11" borderId="2" xfId="9" applyNumberFormat="1" applyFont="1"/>
    <xf numFmtId="168" fontId="1" fillId="5" borderId="2" xfId="2" applyFont="1" applyFill="1" applyBorder="1" applyAlignment="1">
      <alignment wrapText="1"/>
    </xf>
    <xf numFmtId="168" fontId="13" fillId="11" borderId="2" xfId="2" applyFont="1" applyFill="1" applyBorder="1"/>
    <xf numFmtId="168" fontId="0" fillId="0" borderId="0" xfId="1" applyNumberFormat="1" applyFont="1"/>
    <xf numFmtId="181" fontId="12" fillId="10" borderId="1" xfId="8" applyNumberFormat="1"/>
    <xf numFmtId="181" fontId="0" fillId="0" borderId="0" xfId="0" applyNumberFormat="1"/>
    <xf numFmtId="181" fontId="13" fillId="11" borderId="2" xfId="9" applyNumberFormat="1"/>
    <xf numFmtId="181" fontId="4" fillId="0" borderId="1" xfId="6" applyNumberFormat="1" applyFont="1" applyFill="1" applyBorder="1"/>
    <xf numFmtId="181" fontId="4" fillId="0" borderId="36" xfId="6" applyNumberFormat="1" applyFont="1" applyFill="1" applyBorder="1"/>
    <xf numFmtId="181" fontId="4" fillId="0" borderId="0" xfId="6" applyNumberFormat="1" applyFont="1" applyFill="1"/>
    <xf numFmtId="181" fontId="4" fillId="0" borderId="0" xfId="3" applyNumberFormat="1" applyFont="1" applyFill="1"/>
    <xf numFmtId="181" fontId="7" fillId="0" borderId="0" xfId="6" applyNumberFormat="1" applyFont="1" applyFill="1"/>
    <xf numFmtId="181" fontId="8" fillId="0" borderId="0" xfId="0" applyNumberFormat="1" applyFont="1"/>
    <xf numFmtId="167" fontId="15" fillId="0" borderId="0" xfId="11" applyNumberFormat="1" applyBorder="1"/>
    <xf numFmtId="181" fontId="0" fillId="0" borderId="0" xfId="1" applyNumberFormat="1" applyFont="1"/>
    <xf numFmtId="181" fontId="0" fillId="0" borderId="0" xfId="1" applyNumberFormat="1" applyFont="1" applyFill="1"/>
    <xf numFmtId="0" fontId="4" fillId="15" borderId="0" xfId="7" applyFont="1" applyFill="1"/>
    <xf numFmtId="4" fontId="4" fillId="15" borderId="0" xfId="7" applyNumberFormat="1" applyFont="1" applyFill="1" applyAlignment="1">
      <alignment horizontal="right"/>
    </xf>
    <xf numFmtId="4" fontId="4" fillId="15" borderId="15" xfId="7" applyNumberFormat="1" applyFont="1" applyFill="1" applyBorder="1" applyAlignment="1">
      <alignment horizontal="right"/>
    </xf>
    <xf numFmtId="1" fontId="4" fillId="0" borderId="0" xfId="0" applyNumberFormat="1" applyFont="1"/>
    <xf numFmtId="182" fontId="3" fillId="0" borderId="4" xfId="1" applyNumberFormat="1" applyFont="1" applyBorder="1"/>
    <xf numFmtId="182" fontId="3" fillId="0" borderId="12" xfId="1" applyNumberFormat="1" applyFont="1" applyBorder="1"/>
    <xf numFmtId="182" fontId="0" fillId="0" borderId="4" xfId="1" applyNumberFormat="1" applyFont="1" applyBorder="1"/>
    <xf numFmtId="182" fontId="0" fillId="0" borderId="12" xfId="1" applyNumberFormat="1" applyFont="1" applyBorder="1"/>
    <xf numFmtId="182" fontId="1" fillId="0" borderId="4" xfId="1" applyNumberFormat="1" applyFont="1" applyBorder="1"/>
    <xf numFmtId="182" fontId="1" fillId="0" borderId="12" xfId="1" applyNumberFormat="1" applyFont="1" applyBorder="1"/>
    <xf numFmtId="182" fontId="39" fillId="0" borderId="4" xfId="0" applyNumberFormat="1" applyFont="1" applyBorder="1"/>
    <xf numFmtId="182" fontId="39" fillId="0" borderId="12" xfId="0" applyNumberFormat="1" applyFont="1" applyBorder="1"/>
    <xf numFmtId="182" fontId="8" fillId="0" borderId="0" xfId="0" applyNumberFormat="1" applyFont="1"/>
    <xf numFmtId="182" fontId="3" fillId="0" borderId="0" xfId="1" applyNumberFormat="1" applyFont="1" applyFill="1" applyBorder="1"/>
    <xf numFmtId="167" fontId="3" fillId="17" borderId="4" xfId="1" applyFont="1" applyFill="1" applyBorder="1" applyAlignment="1">
      <alignment wrapText="1"/>
    </xf>
    <xf numFmtId="167" fontId="23" fillId="5" borderId="2" xfId="6" applyNumberFormat="1" applyFont="1" applyFill="1" applyBorder="1" applyAlignment="1">
      <alignment wrapText="1"/>
    </xf>
    <xf numFmtId="0" fontId="53" fillId="3" borderId="0" xfId="0" applyFont="1" applyFill="1"/>
    <xf numFmtId="0" fontId="53" fillId="0" borderId="0" xfId="0" applyFont="1"/>
    <xf numFmtId="0" fontId="54" fillId="0" borderId="0" xfId="0" applyFont="1"/>
    <xf numFmtId="165" fontId="15" fillId="11" borderId="1" xfId="10" applyNumberFormat="1" applyFont="1"/>
    <xf numFmtId="165" fontId="12" fillId="10" borderId="1" xfId="8" applyNumberFormat="1"/>
    <xf numFmtId="165" fontId="0" fillId="0" borderId="0" xfId="4" applyFont="1"/>
    <xf numFmtId="169" fontId="12" fillId="10" borderId="1" xfId="8" applyNumberFormat="1"/>
    <xf numFmtId="9" fontId="14" fillId="11" borderId="1" xfId="10" applyNumberFormat="1"/>
    <xf numFmtId="165" fontId="25" fillId="11" borderId="2" xfId="9" applyNumberFormat="1" applyFont="1"/>
    <xf numFmtId="0" fontId="0" fillId="37" borderId="0" xfId="0" applyFill="1"/>
    <xf numFmtId="164" fontId="0" fillId="37" borderId="0" xfId="0" applyNumberFormat="1" applyFill="1"/>
    <xf numFmtId="164" fontId="0" fillId="30" borderId="0" xfId="0" applyNumberFormat="1" applyFill="1"/>
    <xf numFmtId="0" fontId="41" fillId="24" borderId="4" xfId="1" applyNumberFormat="1" applyFont="1" applyFill="1" applyBorder="1" applyAlignment="1">
      <alignment wrapText="1"/>
    </xf>
    <xf numFmtId="174" fontId="13" fillId="11" borderId="2" xfId="9" applyNumberFormat="1"/>
    <xf numFmtId="166" fontId="13" fillId="11" borderId="2" xfId="9" applyNumberFormat="1"/>
    <xf numFmtId="174" fontId="0" fillId="0" borderId="0" xfId="20" applyNumberFormat="1" applyFont="1"/>
    <xf numFmtId="166" fontId="0" fillId="0" borderId="0" xfId="20" applyFont="1" applyFill="1"/>
    <xf numFmtId="174" fontId="0" fillId="0" borderId="0" xfId="20" applyNumberFormat="1" applyFont="1" applyFill="1"/>
    <xf numFmtId="173" fontId="12" fillId="10" borderId="1" xfId="8" applyNumberFormat="1"/>
    <xf numFmtId="9" fontId="13" fillId="11" borderId="2" xfId="3" applyFont="1" applyFill="1" applyBorder="1"/>
    <xf numFmtId="173" fontId="13" fillId="11" borderId="2" xfId="9" applyNumberFormat="1"/>
    <xf numFmtId="0" fontId="12" fillId="0" borderId="1" xfId="8" applyFill="1"/>
    <xf numFmtId="0" fontId="23" fillId="0" borderId="0" xfId="0" applyFont="1" applyAlignment="1">
      <alignment vertical="center"/>
    </xf>
    <xf numFmtId="172" fontId="0" fillId="16" borderId="0" xfId="0" applyNumberFormat="1" applyFill="1"/>
    <xf numFmtId="9" fontId="0" fillId="16" borderId="0" xfId="3" applyFont="1" applyFill="1" applyBorder="1"/>
    <xf numFmtId="171" fontId="13" fillId="11" borderId="2" xfId="3" applyNumberFormat="1" applyFont="1" applyFill="1" applyBorder="1"/>
    <xf numFmtId="171" fontId="0" fillId="0" borderId="4" xfId="0" applyNumberFormat="1" applyBorder="1"/>
    <xf numFmtId="0" fontId="56" fillId="38" borderId="4" xfId="0" applyFont="1" applyFill="1" applyBorder="1" applyAlignment="1">
      <alignment vertical="center"/>
    </xf>
    <xf numFmtId="0" fontId="57" fillId="38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  <xf numFmtId="0" fontId="0" fillId="0" borderId="22" xfId="0" applyBorder="1"/>
    <xf numFmtId="169" fontId="0" fillId="0" borderId="22" xfId="0" applyNumberFormat="1" applyBorder="1"/>
    <xf numFmtId="0" fontId="3" fillId="24" borderId="4" xfId="0" applyFont="1" applyFill="1" applyBorder="1"/>
    <xf numFmtId="172" fontId="3" fillId="0" borderId="4" xfId="1" applyNumberFormat="1" applyFont="1" applyFill="1" applyBorder="1"/>
    <xf numFmtId="171" fontId="0" fillId="0" borderId="0" xfId="3" applyNumberFormat="1" applyFont="1" applyBorder="1"/>
    <xf numFmtId="0" fontId="59" fillId="0" borderId="0" xfId="0" applyFont="1" applyAlignment="1">
      <alignment vertical="center"/>
    </xf>
    <xf numFmtId="0" fontId="58" fillId="38" borderId="4" xfId="0" applyFont="1" applyFill="1" applyBorder="1" applyAlignment="1">
      <alignment vertical="center"/>
    </xf>
    <xf numFmtId="0" fontId="58" fillId="38" borderId="4" xfId="0" applyFont="1" applyFill="1" applyBorder="1" applyAlignment="1">
      <alignment horizontal="center" vertical="center"/>
    </xf>
    <xf numFmtId="0" fontId="59" fillId="0" borderId="4" xfId="0" applyFont="1" applyBorder="1" applyAlignment="1">
      <alignment vertical="center"/>
    </xf>
    <xf numFmtId="0" fontId="59" fillId="0" borderId="4" xfId="0" applyFont="1" applyBorder="1" applyAlignment="1">
      <alignment horizontal="right" vertical="center"/>
    </xf>
    <xf numFmtId="172" fontId="59" fillId="0" borderId="4" xfId="1" applyNumberFormat="1" applyFont="1" applyBorder="1" applyAlignment="1">
      <alignment horizontal="right" vertical="center"/>
    </xf>
    <xf numFmtId="0" fontId="59" fillId="0" borderId="4" xfId="0" applyFont="1" applyBorder="1"/>
    <xf numFmtId="182" fontId="12" fillId="10" borderId="1" xfId="8" applyNumberFormat="1"/>
    <xf numFmtId="167" fontId="11" fillId="9" borderId="2" xfId="1" applyFont="1" applyFill="1" applyBorder="1"/>
    <xf numFmtId="167" fontId="9" fillId="7" borderId="2" xfId="1" applyFont="1" applyFill="1" applyBorder="1"/>
    <xf numFmtId="167" fontId="13" fillId="11" borderId="16" xfId="1" applyFont="1" applyFill="1" applyBorder="1"/>
    <xf numFmtId="167" fontId="3" fillId="0" borderId="5" xfId="1" applyFont="1" applyFill="1" applyBorder="1"/>
    <xf numFmtId="167" fontId="3" fillId="32" borderId="0" xfId="1" applyFont="1" applyFill="1"/>
    <xf numFmtId="167" fontId="8" fillId="0" borderId="0" xfId="1" applyFont="1"/>
    <xf numFmtId="183" fontId="59" fillId="0" borderId="4" xfId="1" applyNumberFormat="1" applyFont="1" applyBorder="1" applyAlignment="1">
      <alignment horizontal="right" vertical="center"/>
    </xf>
    <xf numFmtId="183" fontId="0" fillId="0" borderId="4" xfId="1" applyNumberFormat="1" applyFont="1" applyBorder="1"/>
    <xf numFmtId="183" fontId="0" fillId="0" borderId="4" xfId="0" applyNumberFormat="1" applyBorder="1"/>
    <xf numFmtId="183" fontId="3" fillId="0" borderId="4" xfId="0" applyNumberFormat="1" applyFont="1" applyBorder="1"/>
    <xf numFmtId="0" fontId="58" fillId="38" borderId="4" xfId="0" applyFont="1" applyFill="1" applyBorder="1" applyAlignment="1">
      <alignment horizontal="center" vertical="center"/>
    </xf>
    <xf numFmtId="182" fontId="0" fillId="0" borderId="22" xfId="1" applyNumberFormat="1" applyFont="1" applyBorder="1" applyAlignment="1">
      <alignment vertical="center"/>
    </xf>
    <xf numFmtId="182" fontId="0" fillId="0" borderId="27" xfId="0" applyNumberForma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4" fillId="24" borderId="4" xfId="0" applyFont="1" applyFill="1" applyBorder="1" applyAlignment="1">
      <alignment horizontal="center"/>
    </xf>
    <xf numFmtId="172" fontId="34" fillId="24" borderId="9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19" xfId="1" applyFont="1" applyFill="1" applyBorder="1" applyAlignment="1">
      <alignment horizontal="center"/>
    </xf>
    <xf numFmtId="167" fontId="3" fillId="0" borderId="0" xfId="1" applyFont="1" applyFill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173" fontId="0" fillId="0" borderId="0" xfId="13" applyNumberFormat="1" applyFont="1" applyAlignment="1">
      <alignment horizontal="right"/>
    </xf>
    <xf numFmtId="173" fontId="3" fillId="0" borderId="4" xfId="13" applyNumberFormat="1" applyFont="1" applyFill="1" applyBorder="1" applyAlignment="1">
      <alignment horizontal="center" vertical="center"/>
    </xf>
    <xf numFmtId="0" fontId="3" fillId="37" borderId="0" xfId="0" applyFont="1" applyFill="1" applyAlignment="1">
      <alignment horizontal="center"/>
    </xf>
    <xf numFmtId="0" fontId="3" fillId="30" borderId="0" xfId="0" applyFont="1" applyFill="1" applyAlignment="1">
      <alignment horizontal="center"/>
    </xf>
    <xf numFmtId="0" fontId="0" fillId="0" borderId="4" xfId="0" applyBorder="1" applyAlignment="1"/>
  </cellXfs>
  <cellStyles count="46">
    <cellStyle name="2x indented GHG Textfiels" xfId="15" xr:uid="{DAE2EADC-F4D3-4A80-8C7A-DBE9682AA97C}"/>
    <cellStyle name="Bad" xfId="6" builtinId="27"/>
    <cellStyle name="Calculation" xfId="10" builtinId="22"/>
    <cellStyle name="Comma" xfId="1" builtinId="3" customBuiltin="1"/>
    <cellStyle name="Comma [0]" xfId="2" builtinId="6" customBuiltin="1"/>
    <cellStyle name="Comma 10" xfId="20" xr:uid="{E9DE00B4-8DE0-43FC-A1C5-0CFAC23DED28}"/>
    <cellStyle name="Comma 2" xfId="13" xr:uid="{8B39B998-A4F5-4121-8B5D-695CC5CD4B14}"/>
    <cellStyle name="Comma 2 2" xfId="21" xr:uid="{F22003C8-D9F0-45C4-94F1-6A7DC6B88C87}"/>
    <cellStyle name="Comma 3" xfId="18" xr:uid="{E1B0578F-025D-4A78-9AA2-E08967CFB0BB}"/>
    <cellStyle name="Comma 3 2" xfId="22" xr:uid="{D0E228CA-AC83-467B-8748-5AAD5D8BBBAD}"/>
    <cellStyle name="Comma 4" xfId="19" xr:uid="{CD0CD547-C130-4632-B6BF-A7A4B38D72F1}"/>
    <cellStyle name="Comma 5" xfId="23" xr:uid="{D217BB7A-0C19-4B66-920D-595743259594}"/>
    <cellStyle name="Comma 8" xfId="24" xr:uid="{192474D3-9DA3-4658-AFAC-96BF4F03B304}"/>
    <cellStyle name="Currency" xfId="4" builtinId="4"/>
    <cellStyle name="Currency 2" xfId="25" xr:uid="{F2F93CD4-9F27-43B7-9ABC-43A39B11C67A}"/>
    <cellStyle name="Good" xfId="5" builtinId="26"/>
    <cellStyle name="Hyperlink" xfId="16" builtinId="8"/>
    <cellStyle name="Hyperlink 2" xfId="26" xr:uid="{1CAE8C5D-9171-4C84-B895-FCAFC79EEBE1}"/>
    <cellStyle name="Input" xfId="8" builtinId="20"/>
    <cellStyle name="Linked Cell" xfId="11" builtinId="24"/>
    <cellStyle name="Neutral" xfId="7" builtinId="28"/>
    <cellStyle name="Normal" xfId="0" builtinId="0"/>
    <cellStyle name="Normal 15" xfId="27" xr:uid="{4556EB2C-D6F2-4739-94E6-7514DAC49E8C}"/>
    <cellStyle name="Normal 18 2" xfId="28" xr:uid="{3AAE86DD-80B0-4C2B-B942-3A51B511AC33}"/>
    <cellStyle name="Normal 2" xfId="12" xr:uid="{03B9032C-23B4-4DB2-9930-DD1FAEE61E98}"/>
    <cellStyle name="Normal 2 2" xfId="29" xr:uid="{70286F50-B4B5-4A1D-9B08-8C406EA44020}"/>
    <cellStyle name="Normal 2 5" xfId="17" xr:uid="{A017EB55-188F-484C-9699-4953B1AE0FFE}"/>
    <cellStyle name="Normal 3" xfId="30" xr:uid="{9A134D6B-934F-4368-B12D-5B6CD5BAC2F2}"/>
    <cellStyle name="Normal 3 10" xfId="31" xr:uid="{C03931FD-71FF-480D-AD4E-E61C15C9F920}"/>
    <cellStyle name="Normal 3 2" xfId="32" xr:uid="{F983A6CD-3652-4EF5-A10A-50AACD51A040}"/>
    <cellStyle name="Normal 3 2 2" xfId="33" xr:uid="{2F88CB46-C785-49B4-9C49-8D96938CAF35}"/>
    <cellStyle name="Normal 32 2" xfId="34" xr:uid="{73D860B6-3BD3-4535-AC9C-5B6EEA62F85B}"/>
    <cellStyle name="Normal 32 2 2" xfId="35" xr:uid="{5FCC23A2-CAAC-4775-8A9F-DFEC296A321F}"/>
    <cellStyle name="Normal 32 2 3" xfId="36" xr:uid="{6016EB78-CF2F-4720-BFFC-C4481D26E564}"/>
    <cellStyle name="Normal 39" xfId="37" xr:uid="{5EC5F7C0-6589-4BDF-91DD-903E1B1B285D}"/>
    <cellStyle name="Normal 4" xfId="38" xr:uid="{7192DDFC-F8A5-4EDE-9B10-B532C211B987}"/>
    <cellStyle name="Normal 5" xfId="39" xr:uid="{06F594EA-78A9-4601-A1E4-619A58DE1ECC}"/>
    <cellStyle name="Normal 5 2" xfId="40" xr:uid="{7AB254C5-316F-42E0-9033-47D6A568B2A9}"/>
    <cellStyle name="Normal 6 2" xfId="41" xr:uid="{0D2BDB33-A5C2-45F7-A376-37CADDC10AEA}"/>
    <cellStyle name="Normal 9" xfId="42" xr:uid="{420ECADF-1737-4D9B-A209-90F47FDC8907}"/>
    <cellStyle name="Normal GHG Textfiels Bold" xfId="14" xr:uid="{5F7FA39F-C6CB-4ECA-84FA-46C899EC2B28}"/>
    <cellStyle name="Output" xfId="9" builtinId="21"/>
    <cellStyle name="Per cent" xfId="3" builtinId="5"/>
    <cellStyle name="Percent 10" xfId="43" xr:uid="{388BA1AA-C17C-4356-8C23-DD9DDE1058A7}"/>
    <cellStyle name="Percent 2" xfId="44" xr:uid="{80CF17E1-9735-4243-8947-F74287CAD99C}"/>
    <cellStyle name="Percent 2 2" xfId="45" xr:uid="{2C9B8CBD-3057-4CA2-944A-96E35A36A836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8"/>
      <tableStyleElement type="headerRow" dxfId="17"/>
    </tableStyle>
  </tableStyles>
  <colors>
    <mruColors>
      <color rgb="FFFF99FF"/>
      <color rgb="FFEF815F"/>
      <color rgb="FFA6C0CB"/>
      <color rgb="FFD95943"/>
      <color rgb="FF99FF66"/>
      <color rgb="FFFDCD55"/>
      <color rgb="FFF5FDFF"/>
      <color rgb="FFFAFAFA"/>
      <color rgb="FFECF8F7"/>
      <color rgb="FFFDF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styles" Target="styles.xml"/><Relationship Id="rId50" Type="http://schemas.microsoft.com/office/2017/10/relationships/person" Target="persons/person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3658927976176"/>
          <c:y val="3.6295971432965993E-2"/>
          <c:w val="0.81809584706885718"/>
          <c:h val="0.72643138888888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'Main report tables &amp; graphs'!$A$72</c:f>
              <c:strCache>
                <c:ptCount val="1"/>
                <c:pt idx="0">
                  <c:v>P89 forest harvest liability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report tables &amp; graphs'!$B$70:$C$70</c:f>
              <c:strCache>
                <c:ptCount val="2"/>
                <c:pt idx="0">
                  <c:v>2024 estimate</c:v>
                </c:pt>
                <c:pt idx="1">
                  <c:v>2025 estimate</c:v>
                </c:pt>
              </c:strCache>
            </c:strRef>
          </c:cat>
          <c:val>
            <c:numRef>
              <c:f>'Main report tables &amp; graphs'!$B$72:$C$72</c:f>
              <c:numCache>
                <c:formatCode>#,##0.0_ ;[Red]\-#,##0.0\ </c:formatCode>
                <c:ptCount val="2"/>
                <c:pt idx="0">
                  <c:v>58</c:v>
                </c:pt>
                <c:pt idx="1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ACF-AF65-570F653C93A8}"/>
            </c:ext>
          </c:extLst>
        </c:ser>
        <c:ser>
          <c:idx val="2"/>
          <c:order val="1"/>
          <c:tx>
            <c:strRef>
              <c:f>'Main report tables &amp; graphs'!$A$73</c:f>
              <c:strCache>
                <c:ptCount val="1"/>
                <c:pt idx="0">
                  <c:v>Hedging volume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report tables &amp; graphs'!$B$70:$C$70</c:f>
              <c:strCache>
                <c:ptCount val="2"/>
                <c:pt idx="0">
                  <c:v>2024 estimate</c:v>
                </c:pt>
                <c:pt idx="1">
                  <c:v>2025 estimate</c:v>
                </c:pt>
              </c:strCache>
            </c:strRef>
          </c:cat>
          <c:val>
            <c:numRef>
              <c:f>'Main report tables &amp; graphs'!$B$73:$C$73</c:f>
              <c:numCache>
                <c:formatCode>#,##0.0_ ;[Red]\-#,##0.0\ </c:formatCode>
                <c:ptCount val="2"/>
                <c:pt idx="0">
                  <c:v>28.3</c:v>
                </c:pt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ACF-AF65-570F653C93A8}"/>
            </c:ext>
          </c:extLst>
        </c:ser>
        <c:ser>
          <c:idx val="1"/>
          <c:order val="2"/>
          <c:tx>
            <c:strRef>
              <c:f>'Main report tables &amp; graphs'!$A$74</c:f>
              <c:strCache>
                <c:ptCount val="1"/>
                <c:pt idx="0">
                  <c:v>P90 units held long-term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report tables &amp; graphs'!$B$70:$C$70</c:f>
              <c:strCache>
                <c:ptCount val="2"/>
                <c:pt idx="0">
                  <c:v>2024 estimate</c:v>
                </c:pt>
                <c:pt idx="1">
                  <c:v>2025 estimate</c:v>
                </c:pt>
              </c:strCache>
            </c:strRef>
          </c:cat>
          <c:val>
            <c:numRef>
              <c:f>'Main report tables &amp; graphs'!$B$74:$C$74</c:f>
              <c:numCache>
                <c:formatCode>#,##0.0_ ;[Red]\-#,##0.0\ </c:formatCode>
                <c:ptCount val="2"/>
                <c:pt idx="0">
                  <c:v>6.6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C-4ACF-AF65-570F653C93A8}"/>
            </c:ext>
          </c:extLst>
        </c:ser>
        <c:ser>
          <c:idx val="3"/>
          <c:order val="3"/>
          <c:tx>
            <c:strRef>
              <c:f>'Main report tables &amp; graphs'!$A$75</c:f>
              <c:strCache>
                <c:ptCount val="1"/>
                <c:pt idx="0">
                  <c:v>Holding volume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C-4ACF-AF65-570F653C9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report tables &amp; graphs'!$B$70:$C$70</c:f>
              <c:strCache>
                <c:ptCount val="2"/>
                <c:pt idx="0">
                  <c:v>2024 estimate</c:v>
                </c:pt>
                <c:pt idx="1">
                  <c:v>2025 estimate</c:v>
                </c:pt>
              </c:strCache>
            </c:strRef>
          </c:cat>
          <c:val>
            <c:numRef>
              <c:f>'Main report tables &amp; graphs'!$B$75:$C$75</c:f>
              <c:numCache>
                <c:formatCode>#,##0.0_ ;[Red]\-#,##0.0\ </c:formatCode>
                <c:ptCount val="2"/>
                <c:pt idx="0">
                  <c:v>0</c:v>
                </c:pt>
                <c:pt idx="1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C-4ACF-AF65-570F653C93A8}"/>
            </c:ext>
          </c:extLst>
        </c:ser>
        <c:ser>
          <c:idx val="4"/>
          <c:order val="4"/>
          <c:tx>
            <c:strRef>
              <c:f>'Main report tables &amp; graphs'!$A$77</c:f>
              <c:strCache>
                <c:ptCount val="1"/>
                <c:pt idx="0">
                  <c:v>Base surplus estimate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report tables &amp; graphs'!$B$70:$C$70</c:f>
              <c:strCache>
                <c:ptCount val="2"/>
                <c:pt idx="0">
                  <c:v>2024 estimate</c:v>
                </c:pt>
                <c:pt idx="1">
                  <c:v>2025 estimate</c:v>
                </c:pt>
              </c:strCache>
            </c:strRef>
          </c:cat>
          <c:val>
            <c:numRef>
              <c:f>'Main report tables &amp; graphs'!$B$77:$C$77</c:f>
              <c:numCache>
                <c:formatCode>#,##0.0_ ;[Red]\-#,##0.0\ </c:formatCode>
                <c:ptCount val="2"/>
                <c:pt idx="0">
                  <c:v>67.90000000000002</c:v>
                </c:pt>
                <c:pt idx="1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C-4ACF-AF65-570F653C93A8}"/>
            </c:ext>
          </c:extLst>
        </c:ser>
        <c:ser>
          <c:idx val="7"/>
          <c:order val="5"/>
          <c:tx>
            <c:strRef>
              <c:f>'Main report tables &amp; graphs'!$A$76</c:f>
              <c:strCache>
                <c:ptCount val="1"/>
                <c:pt idx="0">
                  <c:v>Surplus MERP 4 units yet to be allocated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9594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BC-4ACF-AF65-570F653C93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C-4ACF-AF65-570F653C9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report tables &amp; graphs'!$B$70:$C$70</c:f>
              <c:strCache>
                <c:ptCount val="2"/>
                <c:pt idx="0">
                  <c:v>2024 estimate</c:v>
                </c:pt>
                <c:pt idx="1">
                  <c:v>2025 estimate</c:v>
                </c:pt>
              </c:strCache>
            </c:strRef>
          </c:cat>
          <c:val>
            <c:numRef>
              <c:f>'Main report tables &amp; graphs'!$B$76:$C$76</c:f>
              <c:numCache>
                <c:formatCode>#,##0.0_ ;[Red]\-#,##0.0\ </c:formatCode>
                <c:ptCount val="2"/>
                <c:pt idx="0" formatCode="General">
                  <c:v>0</c:v>
                </c:pt>
                <c:pt idx="1">
                  <c:v>10.027269432362107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BC-4ACF-AF65-570F653C9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547503"/>
        <c:axId val="580170208"/>
        <c:extLst/>
      </c:barChart>
      <c:catAx>
        <c:axId val="17354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A6C0C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70208"/>
        <c:crosses val="autoZero"/>
        <c:auto val="1"/>
        <c:lblAlgn val="ctr"/>
        <c:lblOffset val="100"/>
        <c:noMultiLvlLbl val="0"/>
      </c:catAx>
      <c:valAx>
        <c:axId val="580170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900" b="1">
                    <a:solidFill>
                      <a:schemeClr val="accent1"/>
                    </a:solidFill>
                  </a:rPr>
                  <a:t>NZUs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4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023274058577407E-2"/>
          <c:y val="0.84079841828343582"/>
          <c:w val="0.87204890167364013"/>
          <c:h val="0.14860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'Main report tables &amp; graphs'!$A$102</c:f>
              <c:strCache>
                <c:ptCount val="1"/>
                <c:pt idx="0">
                  <c:v>Current auction volumes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'Main report tables &amp; graphs'!$B$101:$G$101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'Main report tables &amp; graphs'!$B$102:$G$102</c:f>
              <c:numCache>
                <c:formatCode>#,##0.0_ ;[Red]\-#,##0.0\ </c:formatCode>
                <c:ptCount val="6"/>
                <c:pt idx="0">
                  <c:v>6.0000000000000009</c:v>
                </c:pt>
                <c:pt idx="1">
                  <c:v>5.2</c:v>
                </c:pt>
                <c:pt idx="2">
                  <c:v>4.3</c:v>
                </c:pt>
                <c:pt idx="3">
                  <c:v>3.3</c:v>
                </c:pt>
                <c:pt idx="4">
                  <c:v>2.4</c:v>
                </c:pt>
                <c:pt idx="5">
                  <c:v>1.7000000000000011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3C7-BA68-A22734802AE2}"/>
            </c:ext>
          </c:extLst>
        </c:ser>
        <c:ser>
          <c:idx val="1"/>
          <c:order val="1"/>
          <c:tx>
            <c:strRef>
              <c:f>'Main report tables &amp; graphs'!$A$103</c:f>
              <c:strCache>
                <c:ptCount val="1"/>
                <c:pt idx="0">
                  <c:v>Option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'Main report tables &amp; graphs'!$B$101:$G$101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'Main report tables &amp; graphs'!$B$103:$G$103</c:f>
              <c:numCache>
                <c:formatCode>#,##0.0_ ;[Red]\-#,##0.0\ </c:formatCode>
                <c:ptCount val="6"/>
                <c:pt idx="0">
                  <c:v>6.0000000000000009</c:v>
                </c:pt>
                <c:pt idx="1">
                  <c:v>5.2</c:v>
                </c:pt>
                <c:pt idx="2">
                  <c:v>4.3</c:v>
                </c:pt>
                <c:pt idx="3">
                  <c:v>9.1999999999999993</c:v>
                </c:pt>
                <c:pt idx="4">
                  <c:v>6.8</c:v>
                </c:pt>
                <c:pt idx="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3C7-BA68-A22734802AE2}"/>
            </c:ext>
          </c:extLst>
        </c:ser>
        <c:ser>
          <c:idx val="2"/>
          <c:order val="2"/>
          <c:tx>
            <c:strRef>
              <c:f>'Main report tables &amp; graphs'!$A$104</c:f>
              <c:strCache>
                <c:ptCount val="1"/>
                <c:pt idx="0">
                  <c:v>Option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'Main report tables &amp; graphs'!$B$101:$G$101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'Main report tables &amp; graphs'!$B$104:$G$104</c:f>
              <c:numCache>
                <c:formatCode>#,##0.0_ ;[Red]\-#,##0.0\ </c:formatCode>
                <c:ptCount val="6"/>
                <c:pt idx="0">
                  <c:v>6</c:v>
                </c:pt>
                <c:pt idx="1">
                  <c:v>5.2</c:v>
                </c:pt>
                <c:pt idx="2">
                  <c:v>4.3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8-43C7-BA68-A22734802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13979743"/>
        <c:axId val="1428087744"/>
      </c:barChart>
      <c:catAx>
        <c:axId val="21139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A6C0C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087744"/>
        <c:crosses val="autoZero"/>
        <c:auto val="1"/>
        <c:lblAlgn val="ctr"/>
        <c:lblOffset val="100"/>
        <c:noMultiLvlLbl val="0"/>
      </c:catAx>
      <c:valAx>
        <c:axId val="14280877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900" b="1">
                    <a:solidFill>
                      <a:schemeClr val="accent1"/>
                    </a:solidFill>
                  </a:rPr>
                  <a:t>NZUs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97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'Main report tables &amp; graphs'!$A$31</c:f>
              <c:strCache>
                <c:ptCount val="1"/>
                <c:pt idx="0">
                  <c:v>Auction volumes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'Main report tables &amp; graphs'!$B$31:$G$31</c:f>
              <c:numCache>
                <c:formatCode>#,##0.0_ ;[Red]\-#,##0.0\ </c:formatCode>
                <c:ptCount val="6"/>
                <c:pt idx="0">
                  <c:v>6</c:v>
                </c:pt>
                <c:pt idx="1">
                  <c:v>5.2</c:v>
                </c:pt>
                <c:pt idx="2">
                  <c:v>4.3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3-4695-B2EB-A9D3E877853B}"/>
            </c:ext>
          </c:extLst>
        </c:ser>
        <c:ser>
          <c:idx val="2"/>
          <c:order val="2"/>
          <c:tx>
            <c:strRef>
              <c:f>'Main report tables &amp; graphs'!$A$32</c:f>
              <c:strCache>
                <c:ptCount val="1"/>
                <c:pt idx="0">
                  <c:v>Industrial free allocation forecast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'Main report tables &amp; graphs'!$B$32:$G$32</c:f>
              <c:numCache>
                <c:formatCode>#,##0.0_ ;[Red]\-#,##0.0\ </c:formatCode>
                <c:ptCount val="6"/>
                <c:pt idx="0">
                  <c:v>5.1320717393568538</c:v>
                </c:pt>
                <c:pt idx="1">
                  <c:v>5.1490185565799056</c:v>
                </c:pt>
                <c:pt idx="2">
                  <c:v>5.0828568791305733</c:v>
                </c:pt>
                <c:pt idx="3">
                  <c:v>4.5507249875472429</c:v>
                </c:pt>
                <c:pt idx="4">
                  <c:v>4.4902458736849109</c:v>
                </c:pt>
                <c:pt idx="5">
                  <c:v>3.9751616728625798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3-4695-B2EB-A9D3E877853B}"/>
            </c:ext>
          </c:extLst>
        </c:ser>
        <c:ser>
          <c:idx val="3"/>
          <c:order val="3"/>
          <c:tx>
            <c:strRef>
              <c:f>'Main report tables &amp; graphs'!$A$33</c:f>
              <c:strCache>
                <c:ptCount val="1"/>
                <c:pt idx="0">
                  <c:v>Use of surplus</c:v>
                </c:pt>
              </c:strCache>
            </c:strRef>
          </c:tx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'Main report tables &amp; graphs'!$B$33:$G$33</c:f>
              <c:numCache>
                <c:formatCode>#,##0.0_ ;[Red]\-#,##0.0\ </c:formatCode>
                <c:ptCount val="6"/>
                <c:pt idx="0">
                  <c:v>15.050938986030154</c:v>
                </c:pt>
                <c:pt idx="1">
                  <c:v>12.873611146360373</c:v>
                </c:pt>
                <c:pt idx="2">
                  <c:v>11.441148886468966</c:v>
                </c:pt>
                <c:pt idx="3">
                  <c:v>6.0444179749528377</c:v>
                </c:pt>
                <c:pt idx="4">
                  <c:v>3.6223066632785663</c:v>
                </c:pt>
                <c:pt idx="5">
                  <c:v>1.6476247310188068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3-4695-B2EB-A9D3E877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231935"/>
        <c:axId val="1718186096"/>
      </c:barChart>
      <c:lineChart>
        <c:grouping val="standard"/>
        <c:varyColors val="0"/>
        <c:ser>
          <c:idx val="0"/>
          <c:order val="0"/>
          <c:tx>
            <c:strRef>
              <c:f>'Main report tables &amp; graphs'!$A$30</c:f>
              <c:strCache>
                <c:ptCount val="1"/>
                <c:pt idx="0">
                  <c:v>NZ ETS cap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'Main report tables &amp; graphs'!$B$29:$G$29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'Main report tables &amp; graphs'!$B$30:$G$30</c:f>
              <c:numCache>
                <c:formatCode>#,##0.0_ ;[Red]\-#,##0.0\ </c:formatCode>
                <c:ptCount val="6"/>
                <c:pt idx="0">
                  <c:v>26.183010725387007</c:v>
                </c:pt>
                <c:pt idx="1">
                  <c:v>23.222629702940278</c:v>
                </c:pt>
                <c:pt idx="2">
                  <c:v>20.824005765599541</c:v>
                </c:pt>
                <c:pt idx="3">
                  <c:v>17.595142962500081</c:v>
                </c:pt>
                <c:pt idx="4">
                  <c:v>15.112552536963477</c:v>
                </c:pt>
                <c:pt idx="5">
                  <c:v>12.622786403881387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3-4695-B2EB-A9D3E877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31935"/>
        <c:axId val="1718186096"/>
      </c:lineChart>
      <c:catAx>
        <c:axId val="168231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rgbClr val="A6C0C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186096"/>
        <c:crosses val="autoZero"/>
        <c:auto val="1"/>
        <c:lblAlgn val="ctr"/>
        <c:lblOffset val="100"/>
        <c:noMultiLvlLbl val="0"/>
      </c:catAx>
      <c:valAx>
        <c:axId val="1718186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900" b="1">
                    <a:solidFill>
                      <a:schemeClr val="accent1"/>
                    </a:solidFill>
                  </a:rPr>
                  <a:t>NZUs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1776027996496E-2"/>
          <c:y val="5.0925925925925923E-2"/>
          <c:w val="0.89665266841644797"/>
          <c:h val="0.69329499999999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D-46B5-8D5C-0D091BF6FE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4D-46B5-8D5C-0D091BF6FE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4D-46B5-8D5C-0D091BF6FE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4D-46B5-8D5C-0D091BF6FE22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accent4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4D-46B5-8D5C-0D091BF6FE22}"/>
              </c:ext>
            </c:extLst>
          </c:dPt>
          <c:cat>
            <c:strRef>
              <c:f>'Main report tables &amp; graphs'!$A$141:$F$141</c:f>
              <c:strCache>
                <c:ptCount val="6"/>
                <c:pt idx="0">
                  <c:v>Y0</c:v>
                </c:pt>
                <c:pt idx="1">
                  <c:v>Y+1</c:v>
                </c:pt>
                <c:pt idx="2">
                  <c:v>Y+2</c:v>
                </c:pt>
                <c:pt idx="3">
                  <c:v>Y+3</c:v>
                </c:pt>
                <c:pt idx="4">
                  <c:v>Y+4</c:v>
                </c:pt>
                <c:pt idx="5">
                  <c:v>Y+5</c:v>
                </c:pt>
              </c:strCache>
            </c:strRef>
          </c:cat>
          <c:val>
            <c:numRef>
              <c:f>'Main report tables &amp; graphs'!$A$142:$F$142</c:f>
              <c:numCache>
                <c:formatCode>General</c:formatCode>
                <c:ptCount val="6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4D-46B5-8D5C-0D091BF6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674095183"/>
        <c:axId val="1712177968"/>
      </c:barChart>
      <c:catAx>
        <c:axId val="67409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A6C0C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177968"/>
        <c:crosses val="autoZero"/>
        <c:auto val="1"/>
        <c:lblAlgn val="ctr"/>
        <c:lblOffset val="100"/>
        <c:noMultiLvlLbl val="0"/>
      </c:catAx>
      <c:valAx>
        <c:axId val="171217796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000" b="1">
                    <a:solidFill>
                      <a:schemeClr val="accent1"/>
                    </a:solidFill>
                  </a:rPr>
                  <a:t>Unit Limits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7409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  <a:alpha val="77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'Tech annex 1 tables &amp; graphs'!$B$117</c:f>
              <c:strCache>
                <c:ptCount val="1"/>
                <c:pt idx="0">
                  <c:v>Previous forecasts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'Tech annex 1 tables &amp; graphs'!$C$104:$N$104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'Tech annex 1 tables &amp; graphs'!$C$117:$H$117</c:f>
              <c:numCache>
                <c:formatCode>0.0</c:formatCode>
                <c:ptCount val="6"/>
                <c:pt idx="0">
                  <c:v>6</c:v>
                </c:pt>
                <c:pt idx="1">
                  <c:v>5.7</c:v>
                </c:pt>
                <c:pt idx="2">
                  <c:v>5.7</c:v>
                </c:pt>
                <c:pt idx="3">
                  <c:v>5.6</c:v>
                </c:pt>
                <c:pt idx="4">
                  <c:v>5.5</c:v>
                </c:pt>
                <c:pt idx="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5-461F-A6C3-43F42E7B27F2}"/>
            </c:ext>
          </c:extLst>
        </c:ser>
        <c:ser>
          <c:idx val="0"/>
          <c:order val="1"/>
          <c:tx>
            <c:v>Updated forecasts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'Tech annex 1 tables &amp; graphs'!$C$104:$N$104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'Tech annex 1 tables &amp; graphs'!$C$116:$H$116</c:f>
              <c:numCache>
                <c:formatCode>#,##0.0_ ;[Red]\-#,##0.0\ </c:formatCode>
                <c:ptCount val="6"/>
                <c:pt idx="0">
                  <c:v>5.1320717393568547</c:v>
                </c:pt>
                <c:pt idx="1">
                  <c:v>5.1490185565799056</c:v>
                </c:pt>
                <c:pt idx="2">
                  <c:v>5.0828568791305742</c:v>
                </c:pt>
                <c:pt idx="3">
                  <c:v>4.550724987547242</c:v>
                </c:pt>
                <c:pt idx="4">
                  <c:v>4.49024587368491</c:v>
                </c:pt>
                <c:pt idx="5">
                  <c:v>3.9751616728625789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5-461F-A6C3-43F42E7B2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065330367"/>
        <c:axId val="355017424"/>
      </c:barChart>
      <c:catAx>
        <c:axId val="206533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17424"/>
        <c:crosses val="autoZero"/>
        <c:auto val="1"/>
        <c:lblAlgn val="ctr"/>
        <c:lblOffset val="100"/>
        <c:noMultiLvlLbl val="0"/>
      </c:catAx>
      <c:valAx>
        <c:axId val="3550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Allocation volume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33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NZ ETS net emissions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graphs'!$C$37:$H$37</c15:sqref>
                  </c15:fullRef>
                </c:ext>
              </c:extLst>
              <c:f>'Tech annex 1 tables &amp; graphs'!$D$37:$H$37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graphs'!$C$49:$H$49</c15:sqref>
                  </c15:fullRef>
                </c:ext>
              </c:extLst>
              <c:f>'Tech annex 1 tables &amp; graphs'!$D$49:$H$49</c:f>
              <c:numCache>
                <c:formatCode>0.0_ ;\-0.0\ </c:formatCode>
                <c:ptCount val="5"/>
                <c:pt idx="0">
                  <c:v>23.222629702940278</c:v>
                </c:pt>
                <c:pt idx="1">
                  <c:v>20.824005765599541</c:v>
                </c:pt>
                <c:pt idx="2">
                  <c:v>17.595142962500081</c:v>
                </c:pt>
                <c:pt idx="3">
                  <c:v>15.112552536963477</c:v>
                </c:pt>
                <c:pt idx="4">
                  <c:v>12.622786403881387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3-4557-BECF-1C51BB9E13E4}"/>
            </c:ext>
          </c:extLst>
        </c:ser>
        <c:ser>
          <c:idx val="1"/>
          <c:order val="1"/>
          <c:tx>
            <c:v>Agricultural emissions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graphs'!$C$37:$H$37</c15:sqref>
                  </c15:fullRef>
                </c:ext>
              </c:extLst>
              <c:f>'Tech annex 1 tables &amp; graphs'!$D$37:$H$37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graphs'!$C$39:$H$39</c15:sqref>
                  </c15:fullRef>
                </c:ext>
              </c:extLst>
              <c:f>'Tech annex 1 tables &amp; graphs'!$D$39:$H$39</c:f>
              <c:numCache>
                <c:formatCode>0.0_ ;\-0.0\ </c:formatCode>
                <c:ptCount val="5"/>
                <c:pt idx="0">
                  <c:v>39.403107980066153</c:v>
                </c:pt>
                <c:pt idx="1">
                  <c:v>39.254616112724925</c:v>
                </c:pt>
                <c:pt idx="2">
                  <c:v>39.277323041220207</c:v>
                </c:pt>
                <c:pt idx="3">
                  <c:v>39.166732306191861</c:v>
                </c:pt>
                <c:pt idx="4">
                  <c:v>38.971559832769117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3-4557-BECF-1C51BB9E13E4}"/>
            </c:ext>
          </c:extLst>
        </c:ser>
        <c:ser>
          <c:idx val="0"/>
          <c:order val="2"/>
          <c:tx>
            <c:strRef>
              <c:f>'Tech annex 1 tables &amp; graphs'!$B$51</c:f>
              <c:strCache>
                <c:ptCount val="1"/>
                <c:pt idx="0">
                  <c:v>Other non-NZ ETS emissions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graphs'!$C$37:$H$37</c15:sqref>
                  </c15:fullRef>
                </c:ext>
              </c:extLst>
              <c:f>'Tech annex 1 tables &amp; graphs'!$D$37:$H$37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graphs'!$C$51:$M$51</c15:sqref>
                  </c15:fullRef>
                </c:ext>
              </c:extLst>
              <c:f>'Tech annex 1 tables &amp; graphs'!$D$51:$M$51</c:f>
              <c:numCache>
                <c:formatCode>0.0_ ;\-0.0\ </c:formatCode>
                <c:ptCount val="10"/>
                <c:pt idx="0">
                  <c:v>3.3063177906253287</c:v>
                </c:pt>
                <c:pt idx="1">
                  <c:v>3.5950918465778798</c:v>
                </c:pt>
                <c:pt idx="2">
                  <c:v>3.5674346386256914</c:v>
                </c:pt>
                <c:pt idx="3">
                  <c:v>3.5832292554818537</c:v>
                </c:pt>
                <c:pt idx="4">
                  <c:v>3.5853202629587884</c:v>
                </c:pt>
                <c:pt idx="5">
                  <c:v>17.637393794269542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3-4557-BECF-1C51BB9E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53345983"/>
        <c:axId val="748110464"/>
      </c:barChart>
      <c:lineChart>
        <c:grouping val="standard"/>
        <c:varyColors val="0"/>
        <c:ser>
          <c:idx val="3"/>
          <c:order val="3"/>
          <c:tx>
            <c:strRef>
              <c:f>'Tech annex 1 tables &amp; graphs'!$A$38</c:f>
              <c:strCache>
                <c:ptCount val="1"/>
                <c:pt idx="0">
                  <c:v>Total net emissions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graphs'!$C$37:$H$37</c15:sqref>
                  </c15:fullRef>
                </c:ext>
              </c:extLst>
              <c:f>'Tech annex 1 tables &amp; graphs'!$D$37:$H$37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graphs'!$C$38:$H$38</c15:sqref>
                  </c15:fullRef>
                </c:ext>
              </c:extLst>
              <c:f>'Tech annex 1 tables &amp; graphs'!$D$38:$H$38</c:f>
              <c:numCache>
                <c:formatCode>0.0_ ;\-0.0\ </c:formatCode>
                <c:ptCount val="5"/>
                <c:pt idx="0">
                  <c:v>65.932055473631763</c:v>
                </c:pt>
                <c:pt idx="1">
                  <c:v>63.673713724902349</c:v>
                </c:pt>
                <c:pt idx="2">
                  <c:v>60.439900642345982</c:v>
                </c:pt>
                <c:pt idx="3">
                  <c:v>57.862514098637185</c:v>
                </c:pt>
                <c:pt idx="4">
                  <c:v>55.17966649960929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3-4557-BECF-1C51BB9E13E4}"/>
            </c:ext>
          </c:extLst>
        </c:ser>
        <c:ser>
          <c:idx val="4"/>
          <c:order val="4"/>
          <c:tx>
            <c:v>NZ ETS emissions cap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graphs'!$C$37:$H$37</c15:sqref>
                  </c15:fullRef>
                </c:ext>
              </c:extLst>
              <c:f>'Tech annex 1 tables &amp; graphs'!$D$37:$H$37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graphs'!$C$49:$M$49</c15:sqref>
                  </c15:fullRef>
                </c:ext>
              </c:extLst>
              <c:f>'Tech annex 1 tables &amp; graphs'!$D$49:$M$49</c:f>
              <c:numCache>
                <c:formatCode>0.0_ ;\-0.0\ </c:formatCode>
                <c:ptCount val="10"/>
                <c:pt idx="0">
                  <c:v>23.222629702940278</c:v>
                </c:pt>
                <c:pt idx="1">
                  <c:v>20.824005765599541</c:v>
                </c:pt>
                <c:pt idx="2">
                  <c:v>17.595142962500081</c:v>
                </c:pt>
                <c:pt idx="3">
                  <c:v>15.112552536963477</c:v>
                </c:pt>
                <c:pt idx="4">
                  <c:v>12.622786403881387</c:v>
                </c:pt>
                <c:pt idx="5">
                  <c:v>89.377117371884765</c:v>
                </c:pt>
                <c:pt idx="6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3-4ED1-9A69-782978057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345983"/>
        <c:axId val="748110464"/>
      </c:lineChart>
      <c:catAx>
        <c:axId val="135334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110464"/>
        <c:crosses val="autoZero"/>
        <c:auto val="1"/>
        <c:lblAlgn val="ctr"/>
        <c:lblOffset val="100"/>
        <c:noMultiLvlLbl val="0"/>
      </c:catAx>
      <c:valAx>
        <c:axId val="74811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000" b="1">
                    <a:solidFill>
                      <a:schemeClr val="accent1"/>
                    </a:solidFill>
                  </a:rPr>
                  <a:t>MtCO</a:t>
                </a:r>
                <a:r>
                  <a:rPr lang="en-NZ" sz="1000" b="1" baseline="0">
                    <a:solidFill>
                      <a:schemeClr val="accent1"/>
                    </a:solidFill>
                  </a:rPr>
                  <a:t>2</a:t>
                </a:r>
                <a:r>
                  <a:rPr lang="en-NZ" sz="1000" b="1">
                    <a:solidFill>
                      <a:schemeClr val="accent1"/>
                    </a:solidFill>
                  </a:rPr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34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108285247830137E-2"/>
          <c:y val="0.86153388888888893"/>
          <c:w val="0.91086582733606791"/>
          <c:h val="0.113771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6715172982282"/>
          <c:y val="3.9375584691213224E-2"/>
          <c:w val="0.87482971100247298"/>
          <c:h val="0.63324760189335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'Tech annex 1 tables &amp; graphs'!$E$291</c:f>
              <c:strCache>
                <c:ptCount val="1"/>
                <c:pt idx="0">
                  <c:v>Total low risk allocations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graphs'!$F$291:$I$291</c15:sqref>
                  </c15:fullRef>
                </c:ext>
              </c:extLst>
              <c:f>'Tech annex 1 tables &amp; graphs'!$F$291:$H$291</c:f>
              <c:numCache>
                <c:formatCode>General</c:formatCode>
                <c:ptCount val="3"/>
                <c:pt idx="0" formatCode="#,##0.0_ ;[Red]\-#,##0.0\ ">
                  <c:v>21.750129183487804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3-4F98-ADB6-7CA82B246C3E}"/>
            </c:ext>
          </c:extLst>
        </c:ser>
        <c:ser>
          <c:idx val="1"/>
          <c:order val="1"/>
          <c:tx>
            <c:strRef>
              <c:f>'Tech annex 1 tables &amp; graphs'!$E$292</c:f>
              <c:strCache>
                <c:ptCount val="1"/>
                <c:pt idx="0">
                  <c:v>Total held for harvest allocations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ln w="15875">
              <a:noFill/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graphs'!$F$292:$I$292</c15:sqref>
                  </c15:fullRef>
                </c:ext>
              </c:extLst>
              <c:f>'Tech annex 1 tables &amp; graphs'!$F$292:$H$292</c:f>
              <c:numCache>
                <c:formatCode>General</c:formatCode>
                <c:ptCount val="3"/>
                <c:pt idx="0" formatCode="#,##0.0_ ;[Red]\-#,##0.0\ ">
                  <c:v>15.264028181250094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3-4F98-ADB6-7CA82B246C3E}"/>
            </c:ext>
          </c:extLst>
        </c:ser>
        <c:ser>
          <c:idx val="2"/>
          <c:order val="2"/>
          <c:tx>
            <c:strRef>
              <c:f>'Tech annex 1 tables &amp; graphs'!$E$293</c:f>
              <c:strCache>
                <c:ptCount val="1"/>
                <c:pt idx="0">
                  <c:v>Low risk units still to be allocated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graphs'!$F$293:$I$293</c15:sqref>
                  </c15:fullRef>
                </c:ext>
              </c:extLst>
              <c:f>'Tech annex 1 tables &amp; graphs'!$F$293:$H$293</c:f>
              <c:numCache>
                <c:formatCode>#,##0.0_ ;[Red]\-#,##0.0\ </c:formatCode>
                <c:ptCount val="3"/>
                <c:pt idx="1">
                  <c:v>17.402556059379535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3-4F98-ADB6-7CA82B246C3E}"/>
            </c:ext>
          </c:extLst>
        </c:ser>
        <c:ser>
          <c:idx val="3"/>
          <c:order val="3"/>
          <c:tx>
            <c:strRef>
              <c:f>'Tech annex 1 tables &amp; graphs'!$E$294</c:f>
              <c:strCache>
                <c:ptCount val="1"/>
                <c:pt idx="0">
                  <c:v>Low risk units already allocated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accent4">
                  <a:lumMod val="60000"/>
                  <a:lumOff val="40000"/>
                </a:schemeClr>
              </a:bgClr>
            </a:pattFill>
            <a:ln w="15875">
              <a:noFill/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graphs'!$F$294:$I$294</c15:sqref>
                  </c15:fullRef>
                </c:ext>
              </c:extLst>
              <c:f>'Tech annex 1 tables &amp; graphs'!$F$294:$H$294</c:f>
              <c:numCache>
                <c:formatCode>#,##0.0_ ;[Red]\-#,##0.0\ </c:formatCode>
                <c:ptCount val="3"/>
                <c:pt idx="1">
                  <c:v>4.3475731241082674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3-4F98-ADB6-7CA82B246C3E}"/>
            </c:ext>
          </c:extLst>
        </c:ser>
        <c:ser>
          <c:idx val="4"/>
          <c:order val="4"/>
          <c:tx>
            <c:strRef>
              <c:f>'Tech annex 1 tables &amp; graphs'!$E$295</c:f>
              <c:strCache>
                <c:ptCount val="1"/>
                <c:pt idx="0">
                  <c:v>Low risk units with no gross demand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graphs'!$F$295:$I$295</c15:sqref>
                  </c15:fullRef>
                </c:ext>
              </c:extLst>
              <c:f>'Tech annex 1 tables &amp; graphs'!$F$295:$H$295</c:f>
              <c:numCache>
                <c:formatCode>General</c:formatCode>
                <c:ptCount val="3"/>
                <c:pt idx="2" formatCode="#,##0.0_ ;[Red]\-#,##0.0\ ">
                  <c:v>10.027269432362104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3-4F98-ADB6-7CA82B246C3E}"/>
            </c:ext>
          </c:extLst>
        </c:ser>
        <c:ser>
          <c:idx val="5"/>
          <c:order val="5"/>
          <c:tx>
            <c:strRef>
              <c:f>'Tech annex 1 tables &amp; graphs'!$E$296</c:f>
              <c:strCache>
                <c:ptCount val="1"/>
                <c:pt idx="0">
                  <c:v>2025 emisisons forestry demand</c:v>
                </c:pt>
              </c:strCache>
            </c:strRef>
          </c:tx>
          <c:spPr>
            <a:pattFill prst="wdUpDiag">
              <a:fgClr>
                <a:schemeClr val="accent6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15875">
              <a:noFill/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graphs'!$F$296:$I$296</c15:sqref>
                  </c15:fullRef>
                </c:ext>
              </c:extLst>
              <c:f>'Tech annex 1 tables &amp; graphs'!$F$296:$H$296</c:f>
              <c:numCache>
                <c:formatCode>General</c:formatCode>
                <c:ptCount val="3"/>
                <c:pt idx="2" formatCode="#,##0.0_ ;[Red]\-#,##0.0\ ">
                  <c:v>7.3752866270174309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83-4F98-ADB6-7CA82B246C3E}"/>
            </c:ext>
          </c:extLst>
        </c:ser>
        <c:ser>
          <c:idx val="6"/>
          <c:order val="6"/>
          <c:tx>
            <c:strRef>
              <c:f>'Tech annex 1 tables &amp; graphs'!$E$297</c:f>
              <c:strCache>
                <c:ptCount val="1"/>
                <c:pt idx="0">
                  <c:v>Addition to surplus</c:v>
                </c:pt>
              </c:strCache>
            </c:strRef>
          </c:tx>
          <c:spPr>
            <a:solidFill>
              <a:srgbClr val="D9594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'Tech annex 1 tables &amp; graphs'!$F$290:$I$290</c15:sqref>
                  </c15:fullRef>
                </c:ext>
              </c:extLst>
              <c:f>'Tech annex 1 tables &amp; graphs'!$F$290:$H$290</c:f>
              <c:strCache>
                <c:ptCount val="3"/>
                <c:pt idx="0">
                  <c:v>1. Total forecast allocations MERP4</c:v>
                </c:pt>
                <c:pt idx="1">
                  <c:v>2. MERP4 low-risk allocations</c:v>
                </c:pt>
                <c:pt idx="2">
                  <c:v>3. Remaining MERP4 low-risk allocations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 annex 1 tables &amp; graphs'!$F$297:$I$297</c15:sqref>
                  </c15:fullRef>
                </c:ext>
              </c:extLst>
              <c:f>'Tech annex 1 tables &amp; graphs'!$F$297:$H$297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E683-4F98-ADB6-7CA82B24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555950528"/>
        <c:axId val="2103831680"/>
      </c:barChart>
      <c:catAx>
        <c:axId val="5559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831680"/>
        <c:crosses val="autoZero"/>
        <c:auto val="1"/>
        <c:lblAlgn val="ctr"/>
        <c:lblOffset val="100"/>
        <c:noMultiLvlLbl val="0"/>
      </c:catAx>
      <c:valAx>
        <c:axId val="21038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NZUs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6029411764705"/>
          <c:y val="3.8805555555555558E-2"/>
          <c:w val="0.85077107843137256"/>
          <c:h val="0.70760055555555557"/>
        </c:manualLayout>
      </c:layout>
      <c:lineChart>
        <c:grouping val="standard"/>
        <c:varyColors val="0"/>
        <c:ser>
          <c:idx val="0"/>
          <c:order val="0"/>
          <c:tx>
            <c:strRef>
              <c:f>'Tech annex 1 tables &amp; graphs'!$A$209</c:f>
              <c:strCache>
                <c:ptCount val="1"/>
                <c:pt idx="0">
                  <c:v>All age classes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'Tech annex 1 tables &amp; graphs'!$B$209:$CA$209</c:f>
              <c:numCache>
                <c:formatCode>#,##0.0_ ;[Red]\-#,##0.0\ </c:formatCode>
                <c:ptCount val="78"/>
                <c:pt idx="0">
                  <c:v>4.0000000000000002E-4</c:v>
                </c:pt>
                <c:pt idx="1">
                  <c:v>2.8E-3</c:v>
                </c:pt>
                <c:pt idx="2">
                  <c:v>1.0200000000000001E-2</c:v>
                </c:pt>
                <c:pt idx="3">
                  <c:v>3.6299999999999999E-2</c:v>
                </c:pt>
                <c:pt idx="4">
                  <c:v>9.4000000000000028E-2</c:v>
                </c:pt>
                <c:pt idx="5">
                  <c:v>0.19350000000000001</c:v>
                </c:pt>
                <c:pt idx="6">
                  <c:v>0.33889999999999998</c:v>
                </c:pt>
                <c:pt idx="7">
                  <c:v>0.52669999999999995</c:v>
                </c:pt>
                <c:pt idx="8">
                  <c:v>0.748</c:v>
                </c:pt>
                <c:pt idx="9">
                  <c:v>0.99950000000000006</c:v>
                </c:pt>
                <c:pt idx="10">
                  <c:v>1.2805000000000002</c:v>
                </c:pt>
                <c:pt idx="11">
                  <c:v>1.5933000000000002</c:v>
                </c:pt>
                <c:pt idx="12">
                  <c:v>1.9402000000000004</c:v>
                </c:pt>
                <c:pt idx="13">
                  <c:v>2.3233999999999995</c:v>
                </c:pt>
                <c:pt idx="14">
                  <c:v>2.7448000000000001</c:v>
                </c:pt>
                <c:pt idx="15">
                  <c:v>3.2059000000000002</c:v>
                </c:pt>
                <c:pt idx="16">
                  <c:v>3.7077000000000009</c:v>
                </c:pt>
                <c:pt idx="17">
                  <c:v>4.2505999999999995</c:v>
                </c:pt>
                <c:pt idx="18">
                  <c:v>4.8347999999999995</c:v>
                </c:pt>
                <c:pt idx="19">
                  <c:v>5.4602999999999993</c:v>
                </c:pt>
                <c:pt idx="20">
                  <c:v>6.1264999999999992</c:v>
                </c:pt>
                <c:pt idx="21">
                  <c:v>6.8333999999999984</c:v>
                </c:pt>
                <c:pt idx="22">
                  <c:v>7.5807999999999982</c:v>
                </c:pt>
                <c:pt idx="23">
                  <c:v>8.3683999999999994</c:v>
                </c:pt>
                <c:pt idx="24">
                  <c:v>9.195999999999998</c:v>
                </c:pt>
                <c:pt idx="25">
                  <c:v>10.062999999999997</c:v>
                </c:pt>
                <c:pt idx="26">
                  <c:v>10.968999999999996</c:v>
                </c:pt>
                <c:pt idx="27">
                  <c:v>11.913499999999996</c:v>
                </c:pt>
                <c:pt idx="28">
                  <c:v>12.257009999999996</c:v>
                </c:pt>
                <c:pt idx="29">
                  <c:v>12.564528999999997</c:v>
                </c:pt>
                <c:pt idx="30">
                  <c:v>12.834656999999998</c:v>
                </c:pt>
                <c:pt idx="31">
                  <c:v>13.056693999999998</c:v>
                </c:pt>
                <c:pt idx="32">
                  <c:v>13.231439999999997</c:v>
                </c:pt>
                <c:pt idx="33">
                  <c:v>13.361594999999996</c:v>
                </c:pt>
                <c:pt idx="34">
                  <c:v>13.453258999999997</c:v>
                </c:pt>
                <c:pt idx="35">
                  <c:v>13.514031999999998</c:v>
                </c:pt>
                <c:pt idx="36">
                  <c:v>13.549314000000001</c:v>
                </c:pt>
                <c:pt idx="37">
                  <c:v>13.553504999999999</c:v>
                </c:pt>
                <c:pt idx="38">
                  <c:v>13.524004999999999</c:v>
                </c:pt>
                <c:pt idx="39">
                  <c:v>13.492205</c:v>
                </c:pt>
                <c:pt idx="40">
                  <c:v>13.458105000000002</c:v>
                </c:pt>
                <c:pt idx="41">
                  <c:v>13.421805000000001</c:v>
                </c:pt>
                <c:pt idx="42">
                  <c:v>13.383604999999999</c:v>
                </c:pt>
                <c:pt idx="43">
                  <c:v>13.343904999999999</c:v>
                </c:pt>
                <c:pt idx="44">
                  <c:v>13.303205</c:v>
                </c:pt>
                <c:pt idx="45">
                  <c:v>13.262105</c:v>
                </c:pt>
                <c:pt idx="46">
                  <c:v>13.220805</c:v>
                </c:pt>
                <c:pt idx="47">
                  <c:v>13.179505000000001</c:v>
                </c:pt>
                <c:pt idx="48">
                  <c:v>13.138805</c:v>
                </c:pt>
                <c:pt idx="49">
                  <c:v>13.098105000000002</c:v>
                </c:pt>
                <c:pt idx="50">
                  <c:v>13.057605000000001</c:v>
                </c:pt>
                <c:pt idx="51">
                  <c:v>13.017405</c:v>
                </c:pt>
                <c:pt idx="52">
                  <c:v>12.977405000000001</c:v>
                </c:pt>
                <c:pt idx="53">
                  <c:v>12.938005000000002</c:v>
                </c:pt>
                <c:pt idx="54">
                  <c:v>12.899005000000001</c:v>
                </c:pt>
                <c:pt idx="55">
                  <c:v>12.860505000000002</c:v>
                </c:pt>
                <c:pt idx="56">
                  <c:v>13.461095000000002</c:v>
                </c:pt>
                <c:pt idx="57">
                  <c:v>13.495086000000001</c:v>
                </c:pt>
                <c:pt idx="58">
                  <c:v>13.527477000000001</c:v>
                </c:pt>
                <c:pt idx="59">
                  <c:v>13.556868</c:v>
                </c:pt>
                <c:pt idx="60">
                  <c:v>13.572559000000002</c:v>
                </c:pt>
                <c:pt idx="61">
                  <c:v>13.57535</c:v>
                </c:pt>
                <c:pt idx="62">
                  <c:v>13.567940999999999</c:v>
                </c:pt>
                <c:pt idx="63">
                  <c:v>13.556432000000001</c:v>
                </c:pt>
                <c:pt idx="64">
                  <c:v>13.548423000000001</c:v>
                </c:pt>
                <c:pt idx="65">
                  <c:v>13.549314000000001</c:v>
                </c:pt>
                <c:pt idx="66">
                  <c:v>13.553504999999999</c:v>
                </c:pt>
                <c:pt idx="67">
                  <c:v>13.524004999999999</c:v>
                </c:pt>
                <c:pt idx="68">
                  <c:v>13.492205</c:v>
                </c:pt>
                <c:pt idx="69">
                  <c:v>13.458105000000002</c:v>
                </c:pt>
                <c:pt idx="70">
                  <c:v>13.421805000000001</c:v>
                </c:pt>
                <c:pt idx="71">
                  <c:v>13.383604999999999</c:v>
                </c:pt>
                <c:pt idx="72">
                  <c:v>13.343904999999999</c:v>
                </c:pt>
                <c:pt idx="73">
                  <c:v>13.303205</c:v>
                </c:pt>
                <c:pt idx="74">
                  <c:v>13.262105</c:v>
                </c:pt>
                <c:pt idx="75">
                  <c:v>13.220805</c:v>
                </c:pt>
                <c:pt idx="76">
                  <c:v>13.179505000000001</c:v>
                </c:pt>
                <c:pt idx="77">
                  <c:v>13.138805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5-4618-9989-4A0223C412E5}"/>
            </c:ext>
          </c:extLst>
        </c:ser>
        <c:ser>
          <c:idx val="1"/>
          <c:order val="1"/>
          <c:tx>
            <c:strRef>
              <c:f>'Tech annex 1 tables &amp; graphs'!$A$210</c:f>
              <c:strCache>
                <c:ptCount val="1"/>
                <c:pt idx="0">
                  <c:v>Single age class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'Tech annex 1 tables &amp; graphs'!$B$210:$CA$210</c:f>
              <c:numCache>
                <c:formatCode>#,##0.0_ ;[Red]\-#,##0.0\ </c:formatCode>
                <c:ptCount val="78"/>
                <c:pt idx="0">
                  <c:v>1.1200000000000002E-2</c:v>
                </c:pt>
                <c:pt idx="1">
                  <c:v>6.720000000000001E-2</c:v>
                </c:pt>
                <c:pt idx="2">
                  <c:v>0.20720000000000002</c:v>
                </c:pt>
                <c:pt idx="3">
                  <c:v>0.73080000000000012</c:v>
                </c:pt>
                <c:pt idx="4">
                  <c:v>1.6156000000000001</c:v>
                </c:pt>
                <c:pt idx="5">
                  <c:v>2.786</c:v>
                </c:pt>
                <c:pt idx="6">
                  <c:v>4.0712000000000002</c:v>
                </c:pt>
                <c:pt idx="7">
                  <c:v>5.2584000000000009</c:v>
                </c:pt>
                <c:pt idx="8">
                  <c:v>6.1964000000000006</c:v>
                </c:pt>
                <c:pt idx="9">
                  <c:v>7.0419999999999998</c:v>
                </c:pt>
                <c:pt idx="10">
                  <c:v>7.8680000000000003</c:v>
                </c:pt>
                <c:pt idx="11">
                  <c:v>8.7584</c:v>
                </c:pt>
                <c:pt idx="12">
                  <c:v>9.7131999999999987</c:v>
                </c:pt>
                <c:pt idx="13">
                  <c:v>10.7296</c:v>
                </c:pt>
                <c:pt idx="14">
                  <c:v>11.799199999999999</c:v>
                </c:pt>
                <c:pt idx="15">
                  <c:v>12.910800000000002</c:v>
                </c:pt>
                <c:pt idx="16">
                  <c:v>14.0504</c:v>
                </c:pt>
                <c:pt idx="17">
                  <c:v>15.201199999999998</c:v>
                </c:pt>
                <c:pt idx="18">
                  <c:v>16.357600000000001</c:v>
                </c:pt>
                <c:pt idx="19">
                  <c:v>17.513999999999999</c:v>
                </c:pt>
                <c:pt idx="20">
                  <c:v>18.653600000000001</c:v>
                </c:pt>
                <c:pt idx="21">
                  <c:v>19.793200000000002</c:v>
                </c:pt>
                <c:pt idx="22">
                  <c:v>20.927199999999999</c:v>
                </c:pt>
                <c:pt idx="23">
                  <c:v>22.052799999999998</c:v>
                </c:pt>
                <c:pt idx="24">
                  <c:v>23.172799999999999</c:v>
                </c:pt>
                <c:pt idx="25">
                  <c:v>24.276</c:v>
                </c:pt>
                <c:pt idx="26">
                  <c:v>25.367999999999999</c:v>
                </c:pt>
                <c:pt idx="27">
                  <c:v>26.446000000000002</c:v>
                </c:pt>
                <c:pt idx="28">
                  <c:v>9.6294799999999992</c:v>
                </c:pt>
                <c:pt idx="29">
                  <c:v>8.6777320000000007</c:v>
                </c:pt>
                <c:pt idx="30">
                  <c:v>7.770783999999999</c:v>
                </c:pt>
                <c:pt idx="31">
                  <c:v>6.9478359999999997</c:v>
                </c:pt>
                <c:pt idx="32">
                  <c:v>6.5084879999999989</c:v>
                </c:pt>
                <c:pt idx="33">
                  <c:v>6.4303399999999993</c:v>
                </c:pt>
                <c:pt idx="34">
                  <c:v>6.6377919999999992</c:v>
                </c:pt>
                <c:pt idx="35">
                  <c:v>6.9600439999999999</c:v>
                </c:pt>
                <c:pt idx="36">
                  <c:v>7.1842960000000007</c:v>
                </c:pt>
                <c:pt idx="37">
                  <c:v>7.1593479999999996</c:v>
                </c:pt>
                <c:pt idx="38">
                  <c:v>7.0419999999999998</c:v>
                </c:pt>
                <c:pt idx="39">
                  <c:v>7.8680000000000003</c:v>
                </c:pt>
                <c:pt idx="40">
                  <c:v>8.7584</c:v>
                </c:pt>
                <c:pt idx="41">
                  <c:v>9.7131999999999987</c:v>
                </c:pt>
                <c:pt idx="42">
                  <c:v>10.7296</c:v>
                </c:pt>
                <c:pt idx="43">
                  <c:v>11.799199999999999</c:v>
                </c:pt>
                <c:pt idx="44">
                  <c:v>12.910800000000002</c:v>
                </c:pt>
                <c:pt idx="45">
                  <c:v>14.0504</c:v>
                </c:pt>
                <c:pt idx="46">
                  <c:v>15.201199999999998</c:v>
                </c:pt>
                <c:pt idx="47">
                  <c:v>16.357600000000001</c:v>
                </c:pt>
                <c:pt idx="48">
                  <c:v>17.513999999999999</c:v>
                </c:pt>
                <c:pt idx="49">
                  <c:v>18.653600000000001</c:v>
                </c:pt>
                <c:pt idx="50">
                  <c:v>19.793200000000002</c:v>
                </c:pt>
                <c:pt idx="51">
                  <c:v>20.927199999999999</c:v>
                </c:pt>
                <c:pt idx="52">
                  <c:v>22.052799999999998</c:v>
                </c:pt>
                <c:pt idx="53">
                  <c:v>23.172799999999999</c:v>
                </c:pt>
                <c:pt idx="54">
                  <c:v>24.276</c:v>
                </c:pt>
                <c:pt idx="55">
                  <c:v>25.367999999999999</c:v>
                </c:pt>
                <c:pt idx="56">
                  <c:v>26.446000000000002</c:v>
                </c:pt>
                <c:pt idx="57">
                  <c:v>9.6294799999999992</c:v>
                </c:pt>
                <c:pt idx="58">
                  <c:v>8.6777320000000007</c:v>
                </c:pt>
                <c:pt idx="59">
                  <c:v>7.770783999999999</c:v>
                </c:pt>
                <c:pt idx="60">
                  <c:v>6.9478359999999997</c:v>
                </c:pt>
                <c:pt idx="61">
                  <c:v>6.5084879999999989</c:v>
                </c:pt>
                <c:pt idx="62">
                  <c:v>6.4303399999999993</c:v>
                </c:pt>
                <c:pt idx="63">
                  <c:v>6.6377919999999992</c:v>
                </c:pt>
                <c:pt idx="64">
                  <c:v>6.9600439999999999</c:v>
                </c:pt>
                <c:pt idx="65">
                  <c:v>7.1842960000000007</c:v>
                </c:pt>
                <c:pt idx="66">
                  <c:v>7.1593479999999996</c:v>
                </c:pt>
                <c:pt idx="67">
                  <c:v>7.0419999999999998</c:v>
                </c:pt>
                <c:pt idx="68">
                  <c:v>7.8680000000000003</c:v>
                </c:pt>
                <c:pt idx="69">
                  <c:v>8.7584</c:v>
                </c:pt>
                <c:pt idx="70">
                  <c:v>9.7131999999999987</c:v>
                </c:pt>
                <c:pt idx="71">
                  <c:v>10.7296</c:v>
                </c:pt>
                <c:pt idx="72">
                  <c:v>11.799199999999999</c:v>
                </c:pt>
                <c:pt idx="73">
                  <c:v>12.910800000000002</c:v>
                </c:pt>
                <c:pt idx="74">
                  <c:v>14.0504</c:v>
                </c:pt>
                <c:pt idx="75">
                  <c:v>15.201199999999998</c:v>
                </c:pt>
                <c:pt idx="76">
                  <c:v>16.357600000000001</c:v>
                </c:pt>
                <c:pt idx="77">
                  <c:v>17.513999999999999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5-4618-9989-4A0223C412E5}"/>
            </c:ext>
          </c:extLst>
        </c:ser>
        <c:ser>
          <c:idx val="4"/>
          <c:order val="2"/>
          <c:tx>
            <c:strRef>
              <c:f>'Tech annex 1 tables &amp; graphs'!$A$211</c:f>
              <c:strCache>
                <c:ptCount val="1"/>
                <c:pt idx="0">
                  <c:v>Spread age classes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'Tech annex 1 tables &amp; graphs'!$B$211:$CA$211</c:f>
              <c:numCache>
                <c:formatCode>#,##0.0_ ;[Red]\-#,##0.0\ </c:formatCode>
                <c:ptCount val="78"/>
                <c:pt idx="0">
                  <c:v>5.6000000000000008E-3</c:v>
                </c:pt>
                <c:pt idx="1">
                  <c:v>3.3600000000000005E-2</c:v>
                </c:pt>
                <c:pt idx="2">
                  <c:v>0.10360000000000001</c:v>
                </c:pt>
                <c:pt idx="3">
                  <c:v>0.36540000000000006</c:v>
                </c:pt>
                <c:pt idx="4">
                  <c:v>0.80780000000000007</c:v>
                </c:pt>
                <c:pt idx="5">
                  <c:v>1.393</c:v>
                </c:pt>
                <c:pt idx="6">
                  <c:v>2.0356000000000001</c:v>
                </c:pt>
                <c:pt idx="7">
                  <c:v>2.6292000000000004</c:v>
                </c:pt>
                <c:pt idx="8">
                  <c:v>3.0982000000000003</c:v>
                </c:pt>
                <c:pt idx="9">
                  <c:v>3.5209999999999999</c:v>
                </c:pt>
                <c:pt idx="10">
                  <c:v>3.9340000000000002</c:v>
                </c:pt>
                <c:pt idx="11">
                  <c:v>4.3792</c:v>
                </c:pt>
                <c:pt idx="12">
                  <c:v>4.8565999999999994</c:v>
                </c:pt>
                <c:pt idx="13">
                  <c:v>5.3647999999999998</c:v>
                </c:pt>
                <c:pt idx="14">
                  <c:v>5.8995999999999995</c:v>
                </c:pt>
                <c:pt idx="15">
                  <c:v>6.4610000000000012</c:v>
                </c:pt>
                <c:pt idx="16">
                  <c:v>7.0587999999999997</c:v>
                </c:pt>
                <c:pt idx="17">
                  <c:v>7.7042000000000002</c:v>
                </c:pt>
                <c:pt idx="18">
                  <c:v>8.5442</c:v>
                </c:pt>
                <c:pt idx="19">
                  <c:v>9.5648</c:v>
                </c:pt>
                <c:pt idx="20">
                  <c:v>10.719800000000001</c:v>
                </c:pt>
                <c:pt idx="21">
                  <c:v>11.9322</c:v>
                </c:pt>
                <c:pt idx="22">
                  <c:v>13.0928</c:v>
                </c:pt>
                <c:pt idx="23">
                  <c:v>14.124600000000001</c:v>
                </c:pt>
                <c:pt idx="24">
                  <c:v>15.1074</c:v>
                </c:pt>
                <c:pt idx="25">
                  <c:v>16.071999999999999</c:v>
                </c:pt>
                <c:pt idx="26">
                  <c:v>17.063200000000002</c:v>
                </c:pt>
                <c:pt idx="27">
                  <c:v>18.079599999999999</c:v>
                </c:pt>
                <c:pt idx="28">
                  <c:v>10.179540000000001</c:v>
                </c:pt>
                <c:pt idx="29">
                  <c:v>10.238466000000001</c:v>
                </c:pt>
                <c:pt idx="30">
                  <c:v>10.340791999999999</c:v>
                </c:pt>
                <c:pt idx="31">
                  <c:v>10.499117999999999</c:v>
                </c:pt>
                <c:pt idx="32">
                  <c:v>10.854844</c:v>
                </c:pt>
                <c:pt idx="33">
                  <c:v>11.393970000000001</c:v>
                </c:pt>
                <c:pt idx="34">
                  <c:v>12.075896</c:v>
                </c:pt>
                <c:pt idx="35">
                  <c:v>12.806822</c:v>
                </c:pt>
                <c:pt idx="36">
                  <c:v>13.488747999999999</c:v>
                </c:pt>
                <c:pt idx="37">
                  <c:v>14.043274000000002</c:v>
                </c:pt>
                <c:pt idx="38">
                  <c:v>14.5474</c:v>
                </c:pt>
                <c:pt idx="39">
                  <c:v>15.5204</c:v>
                </c:pt>
                <c:pt idx="40">
                  <c:v>16.517199999999999</c:v>
                </c:pt>
                <c:pt idx="41">
                  <c:v>17.540599999999998</c:v>
                </c:pt>
                <c:pt idx="42">
                  <c:v>18.587799999999998</c:v>
                </c:pt>
                <c:pt idx="43">
                  <c:v>10.71434</c:v>
                </c:pt>
                <c:pt idx="44">
                  <c:v>10.794266</c:v>
                </c:pt>
                <c:pt idx="45">
                  <c:v>10.910591999999999</c:v>
                </c:pt>
                <c:pt idx="46">
                  <c:v>11.074517999999999</c:v>
                </c:pt>
                <c:pt idx="47">
                  <c:v>11.433044000000002</c:v>
                </c:pt>
                <c:pt idx="48">
                  <c:v>11.97217</c:v>
                </c:pt>
                <c:pt idx="49">
                  <c:v>12.645695999999999</c:v>
                </c:pt>
                <c:pt idx="50">
                  <c:v>13.376621999999999</c:v>
                </c:pt>
                <c:pt idx="51">
                  <c:v>14.055747999999999</c:v>
                </c:pt>
                <c:pt idx="52">
                  <c:v>14.606074000000001</c:v>
                </c:pt>
                <c:pt idx="53">
                  <c:v>15.1074</c:v>
                </c:pt>
                <c:pt idx="54">
                  <c:v>16.071999999999999</c:v>
                </c:pt>
                <c:pt idx="55">
                  <c:v>17.063200000000002</c:v>
                </c:pt>
                <c:pt idx="56">
                  <c:v>18.079599999999999</c:v>
                </c:pt>
                <c:pt idx="57">
                  <c:v>10.179540000000001</c:v>
                </c:pt>
                <c:pt idx="58">
                  <c:v>10.238466000000001</c:v>
                </c:pt>
                <c:pt idx="59">
                  <c:v>10.340791999999999</c:v>
                </c:pt>
                <c:pt idx="60">
                  <c:v>10.499117999999999</c:v>
                </c:pt>
                <c:pt idx="61">
                  <c:v>10.854844</c:v>
                </c:pt>
                <c:pt idx="62">
                  <c:v>11.393970000000001</c:v>
                </c:pt>
                <c:pt idx="63">
                  <c:v>12.075896</c:v>
                </c:pt>
                <c:pt idx="64">
                  <c:v>12.806822</c:v>
                </c:pt>
                <c:pt idx="65">
                  <c:v>13.488747999999999</c:v>
                </c:pt>
                <c:pt idx="66">
                  <c:v>14.043274000000002</c:v>
                </c:pt>
                <c:pt idx="67">
                  <c:v>14.5474</c:v>
                </c:pt>
                <c:pt idx="68">
                  <c:v>15.5204</c:v>
                </c:pt>
                <c:pt idx="69">
                  <c:v>16.517199999999999</c:v>
                </c:pt>
                <c:pt idx="70">
                  <c:v>17.540599999999998</c:v>
                </c:pt>
                <c:pt idx="71">
                  <c:v>18.587799999999998</c:v>
                </c:pt>
                <c:pt idx="72">
                  <c:v>10.71434</c:v>
                </c:pt>
                <c:pt idx="73">
                  <c:v>10.794266</c:v>
                </c:pt>
                <c:pt idx="74">
                  <c:v>10.910591999999999</c:v>
                </c:pt>
                <c:pt idx="75">
                  <c:v>11.074517999999999</c:v>
                </c:pt>
                <c:pt idx="76">
                  <c:v>11.433044000000002</c:v>
                </c:pt>
                <c:pt idx="77">
                  <c:v>11.97217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5-4618-9989-4A0223C412E5}"/>
            </c:ext>
          </c:extLst>
        </c:ser>
        <c:ser>
          <c:idx val="2"/>
          <c:order val="3"/>
          <c:tx>
            <c:strRef>
              <c:f>'Tech annex 1 tables &amp; graphs'!$A$212</c:f>
              <c:strCache>
                <c:ptCount val="1"/>
                <c:pt idx="0">
                  <c:v>Maximum low risk units (100%)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'Tech annex 1 tables &amp; graphs'!$B$212:$CA$212</c:f>
              <c:numCache>
                <c:formatCode>#,##0.0_ ;[Red]\-#,##0.0\ </c:formatCode>
                <c:ptCount val="78"/>
                <c:pt idx="0">
                  <c:v>12.860505000000002</c:v>
                </c:pt>
                <c:pt idx="1">
                  <c:v>12.860505000000002</c:v>
                </c:pt>
                <c:pt idx="2">
                  <c:v>12.860505000000002</c:v>
                </c:pt>
                <c:pt idx="3">
                  <c:v>12.860505000000002</c:v>
                </c:pt>
                <c:pt idx="4">
                  <c:v>12.860505000000002</c:v>
                </c:pt>
                <c:pt idx="5">
                  <c:v>12.860505000000002</c:v>
                </c:pt>
                <c:pt idx="6">
                  <c:v>12.860505000000002</c:v>
                </c:pt>
                <c:pt idx="7">
                  <c:v>12.860505000000002</c:v>
                </c:pt>
                <c:pt idx="8">
                  <c:v>12.860505000000002</c:v>
                </c:pt>
                <c:pt idx="9">
                  <c:v>12.860505000000002</c:v>
                </c:pt>
                <c:pt idx="10">
                  <c:v>12.860505000000002</c:v>
                </c:pt>
                <c:pt idx="11">
                  <c:v>12.860505000000002</c:v>
                </c:pt>
                <c:pt idx="12">
                  <c:v>12.860505000000002</c:v>
                </c:pt>
                <c:pt idx="13">
                  <c:v>12.860505000000002</c:v>
                </c:pt>
                <c:pt idx="14">
                  <c:v>12.860505000000002</c:v>
                </c:pt>
                <c:pt idx="15">
                  <c:v>12.860505000000002</c:v>
                </c:pt>
                <c:pt idx="16">
                  <c:v>12.860505000000002</c:v>
                </c:pt>
                <c:pt idx="17">
                  <c:v>12.860505000000002</c:v>
                </c:pt>
                <c:pt idx="18">
                  <c:v>12.860505000000002</c:v>
                </c:pt>
                <c:pt idx="19">
                  <c:v>12.860505000000002</c:v>
                </c:pt>
                <c:pt idx="20">
                  <c:v>12.860505000000002</c:v>
                </c:pt>
                <c:pt idx="21">
                  <c:v>12.860505000000002</c:v>
                </c:pt>
                <c:pt idx="22">
                  <c:v>12.860505000000002</c:v>
                </c:pt>
                <c:pt idx="23">
                  <c:v>12.860505000000002</c:v>
                </c:pt>
                <c:pt idx="24">
                  <c:v>12.860505000000002</c:v>
                </c:pt>
                <c:pt idx="25">
                  <c:v>12.860505000000002</c:v>
                </c:pt>
                <c:pt idx="26">
                  <c:v>12.860505000000002</c:v>
                </c:pt>
                <c:pt idx="27">
                  <c:v>12.860505000000002</c:v>
                </c:pt>
                <c:pt idx="28">
                  <c:v>12.860505000000002</c:v>
                </c:pt>
                <c:pt idx="29">
                  <c:v>12.860505000000002</c:v>
                </c:pt>
                <c:pt idx="30">
                  <c:v>12.860505000000002</c:v>
                </c:pt>
                <c:pt idx="31">
                  <c:v>12.860505000000002</c:v>
                </c:pt>
                <c:pt idx="32">
                  <c:v>12.860505000000002</c:v>
                </c:pt>
                <c:pt idx="33">
                  <c:v>12.860505000000002</c:v>
                </c:pt>
                <c:pt idx="34">
                  <c:v>12.860505000000002</c:v>
                </c:pt>
                <c:pt idx="35">
                  <c:v>12.860505000000002</c:v>
                </c:pt>
                <c:pt idx="36">
                  <c:v>12.860505000000002</c:v>
                </c:pt>
                <c:pt idx="37">
                  <c:v>12.860505000000002</c:v>
                </c:pt>
                <c:pt idx="38">
                  <c:v>12.860505000000002</c:v>
                </c:pt>
                <c:pt idx="39">
                  <c:v>12.860505000000002</c:v>
                </c:pt>
                <c:pt idx="40">
                  <c:v>12.860505000000002</c:v>
                </c:pt>
                <c:pt idx="41">
                  <c:v>12.860505000000002</c:v>
                </c:pt>
                <c:pt idx="42">
                  <c:v>12.860505000000002</c:v>
                </c:pt>
                <c:pt idx="43">
                  <c:v>12.860505000000002</c:v>
                </c:pt>
                <c:pt idx="44">
                  <c:v>12.860505000000002</c:v>
                </c:pt>
                <c:pt idx="45">
                  <c:v>12.860505000000002</c:v>
                </c:pt>
                <c:pt idx="46">
                  <c:v>12.860505000000002</c:v>
                </c:pt>
                <c:pt idx="47">
                  <c:v>12.860505000000002</c:v>
                </c:pt>
                <c:pt idx="48">
                  <c:v>12.860505000000002</c:v>
                </c:pt>
                <c:pt idx="49">
                  <c:v>12.860505000000002</c:v>
                </c:pt>
                <c:pt idx="50">
                  <c:v>12.860505000000002</c:v>
                </c:pt>
                <c:pt idx="51">
                  <c:v>12.860505000000002</c:v>
                </c:pt>
                <c:pt idx="52">
                  <c:v>12.860505000000002</c:v>
                </c:pt>
                <c:pt idx="53">
                  <c:v>12.860505000000002</c:v>
                </c:pt>
                <c:pt idx="54">
                  <c:v>12.860505000000002</c:v>
                </c:pt>
                <c:pt idx="55">
                  <c:v>12.860505000000002</c:v>
                </c:pt>
                <c:pt idx="56">
                  <c:v>12.860505000000002</c:v>
                </c:pt>
                <c:pt idx="57">
                  <c:v>12.860505000000002</c:v>
                </c:pt>
                <c:pt idx="58">
                  <c:v>12.860505000000002</c:v>
                </c:pt>
                <c:pt idx="59">
                  <c:v>12.860505000000002</c:v>
                </c:pt>
                <c:pt idx="60">
                  <c:v>12.860505000000002</c:v>
                </c:pt>
                <c:pt idx="61">
                  <c:v>12.860505000000002</c:v>
                </c:pt>
                <c:pt idx="62">
                  <c:v>12.860505000000002</c:v>
                </c:pt>
                <c:pt idx="63">
                  <c:v>12.860505000000002</c:v>
                </c:pt>
                <c:pt idx="64">
                  <c:v>12.860505000000002</c:v>
                </c:pt>
                <c:pt idx="65">
                  <c:v>12.860505000000002</c:v>
                </c:pt>
                <c:pt idx="66">
                  <c:v>12.860505000000002</c:v>
                </c:pt>
                <c:pt idx="67">
                  <c:v>12.860505000000002</c:v>
                </c:pt>
                <c:pt idx="68">
                  <c:v>12.860505000000002</c:v>
                </c:pt>
                <c:pt idx="69">
                  <c:v>12.860505000000002</c:v>
                </c:pt>
                <c:pt idx="70">
                  <c:v>12.860505000000002</c:v>
                </c:pt>
                <c:pt idx="71">
                  <c:v>12.860505000000002</c:v>
                </c:pt>
                <c:pt idx="72">
                  <c:v>12.860505000000002</c:v>
                </c:pt>
                <c:pt idx="73">
                  <c:v>12.860505000000002</c:v>
                </c:pt>
                <c:pt idx="74">
                  <c:v>12.860505000000002</c:v>
                </c:pt>
                <c:pt idx="75">
                  <c:v>12.860505000000002</c:v>
                </c:pt>
                <c:pt idx="76">
                  <c:v>12.860505000000002</c:v>
                </c:pt>
                <c:pt idx="77">
                  <c:v>12.860505000000002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5-4618-9989-4A0223C412E5}"/>
            </c:ext>
          </c:extLst>
        </c:ser>
        <c:ser>
          <c:idx val="3"/>
          <c:order val="4"/>
          <c:tx>
            <c:strRef>
              <c:f>'Tech annex 1 tables &amp; graphs'!$A$213</c:f>
              <c:strCache>
                <c:ptCount val="1"/>
                <c:pt idx="0">
                  <c:v>Minimum low risk units (0%)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'Tech annex 1 tables &amp; graphs'!$B$213:$CA$213</c:f>
              <c:numCache>
                <c:formatCode>#,##0.0_ ;[Red]\-#,##0.0\ </c:formatCode>
                <c:ptCount val="78"/>
                <c:pt idx="0">
                  <c:v>6.4303399999999993</c:v>
                </c:pt>
                <c:pt idx="1">
                  <c:v>6.4303399999999993</c:v>
                </c:pt>
                <c:pt idx="2">
                  <c:v>6.4303399999999993</c:v>
                </c:pt>
                <c:pt idx="3">
                  <c:v>6.4303399999999993</c:v>
                </c:pt>
                <c:pt idx="4">
                  <c:v>6.4303399999999993</c:v>
                </c:pt>
                <c:pt idx="5">
                  <c:v>6.4303399999999993</c:v>
                </c:pt>
                <c:pt idx="6">
                  <c:v>6.4303399999999993</c:v>
                </c:pt>
                <c:pt idx="7">
                  <c:v>6.4303399999999993</c:v>
                </c:pt>
                <c:pt idx="8">
                  <c:v>6.4303399999999993</c:v>
                </c:pt>
                <c:pt idx="9">
                  <c:v>6.4303399999999993</c:v>
                </c:pt>
                <c:pt idx="10">
                  <c:v>6.4303399999999993</c:v>
                </c:pt>
                <c:pt idx="11">
                  <c:v>6.4303399999999993</c:v>
                </c:pt>
                <c:pt idx="12">
                  <c:v>6.4303399999999993</c:v>
                </c:pt>
                <c:pt idx="13">
                  <c:v>6.4303399999999993</c:v>
                </c:pt>
                <c:pt idx="14">
                  <c:v>6.4303399999999993</c:v>
                </c:pt>
                <c:pt idx="15">
                  <c:v>6.4303399999999993</c:v>
                </c:pt>
                <c:pt idx="16">
                  <c:v>6.4303399999999993</c:v>
                </c:pt>
                <c:pt idx="17">
                  <c:v>6.4303399999999993</c:v>
                </c:pt>
                <c:pt idx="18">
                  <c:v>6.4303399999999993</c:v>
                </c:pt>
                <c:pt idx="19">
                  <c:v>6.4303399999999993</c:v>
                </c:pt>
                <c:pt idx="20">
                  <c:v>6.4303399999999993</c:v>
                </c:pt>
                <c:pt idx="21">
                  <c:v>6.4303399999999993</c:v>
                </c:pt>
                <c:pt idx="22">
                  <c:v>6.4303399999999993</c:v>
                </c:pt>
                <c:pt idx="23">
                  <c:v>6.4303399999999993</c:v>
                </c:pt>
                <c:pt idx="24">
                  <c:v>6.4303399999999993</c:v>
                </c:pt>
                <c:pt idx="25">
                  <c:v>6.4303399999999993</c:v>
                </c:pt>
                <c:pt idx="26">
                  <c:v>6.4303399999999993</c:v>
                </c:pt>
                <c:pt idx="27">
                  <c:v>6.4303399999999993</c:v>
                </c:pt>
                <c:pt idx="28">
                  <c:v>6.4303399999999993</c:v>
                </c:pt>
                <c:pt idx="29">
                  <c:v>6.4303399999999993</c:v>
                </c:pt>
                <c:pt idx="30">
                  <c:v>6.4303399999999993</c:v>
                </c:pt>
                <c:pt idx="31">
                  <c:v>6.4303399999999993</c:v>
                </c:pt>
                <c:pt idx="32">
                  <c:v>6.4303399999999993</c:v>
                </c:pt>
                <c:pt idx="33">
                  <c:v>6.4303399999999993</c:v>
                </c:pt>
                <c:pt idx="34">
                  <c:v>6.4303399999999993</c:v>
                </c:pt>
                <c:pt idx="35">
                  <c:v>6.4303399999999993</c:v>
                </c:pt>
                <c:pt idx="36">
                  <c:v>6.4303399999999993</c:v>
                </c:pt>
                <c:pt idx="37">
                  <c:v>6.4303399999999993</c:v>
                </c:pt>
                <c:pt idx="38">
                  <c:v>6.4303399999999993</c:v>
                </c:pt>
                <c:pt idx="39">
                  <c:v>6.4303399999999993</c:v>
                </c:pt>
                <c:pt idx="40">
                  <c:v>6.4303399999999993</c:v>
                </c:pt>
                <c:pt idx="41">
                  <c:v>6.4303399999999993</c:v>
                </c:pt>
                <c:pt idx="42">
                  <c:v>6.4303399999999993</c:v>
                </c:pt>
                <c:pt idx="43">
                  <c:v>6.4303399999999993</c:v>
                </c:pt>
                <c:pt idx="44">
                  <c:v>6.4303399999999993</c:v>
                </c:pt>
                <c:pt idx="45">
                  <c:v>6.4303399999999993</c:v>
                </c:pt>
                <c:pt idx="46">
                  <c:v>6.4303399999999993</c:v>
                </c:pt>
                <c:pt idx="47">
                  <c:v>6.4303399999999993</c:v>
                </c:pt>
                <c:pt idx="48">
                  <c:v>6.4303399999999993</c:v>
                </c:pt>
                <c:pt idx="49">
                  <c:v>6.4303399999999993</c:v>
                </c:pt>
                <c:pt idx="50">
                  <c:v>6.4303399999999993</c:v>
                </c:pt>
                <c:pt idx="51">
                  <c:v>6.4303399999999993</c:v>
                </c:pt>
                <c:pt idx="52">
                  <c:v>6.4303399999999993</c:v>
                </c:pt>
                <c:pt idx="53">
                  <c:v>6.4303399999999993</c:v>
                </c:pt>
                <c:pt idx="54">
                  <c:v>6.4303399999999993</c:v>
                </c:pt>
                <c:pt idx="55">
                  <c:v>6.4303399999999993</c:v>
                </c:pt>
                <c:pt idx="56">
                  <c:v>6.4303399999999993</c:v>
                </c:pt>
                <c:pt idx="57">
                  <c:v>6.4303399999999993</c:v>
                </c:pt>
                <c:pt idx="58">
                  <c:v>6.4303399999999993</c:v>
                </c:pt>
                <c:pt idx="59">
                  <c:v>6.4303399999999993</c:v>
                </c:pt>
                <c:pt idx="60">
                  <c:v>6.4303399999999993</c:v>
                </c:pt>
                <c:pt idx="61">
                  <c:v>6.4303399999999993</c:v>
                </c:pt>
                <c:pt idx="62">
                  <c:v>6.4303399999999993</c:v>
                </c:pt>
                <c:pt idx="63">
                  <c:v>6.4303399999999993</c:v>
                </c:pt>
                <c:pt idx="64">
                  <c:v>6.4303399999999993</c:v>
                </c:pt>
                <c:pt idx="65">
                  <c:v>6.4303399999999993</c:v>
                </c:pt>
                <c:pt idx="66">
                  <c:v>6.4303399999999993</c:v>
                </c:pt>
                <c:pt idx="67">
                  <c:v>6.4303399999999993</c:v>
                </c:pt>
                <c:pt idx="68">
                  <c:v>6.4303399999999993</c:v>
                </c:pt>
                <c:pt idx="69">
                  <c:v>6.4303399999999993</c:v>
                </c:pt>
                <c:pt idx="70">
                  <c:v>6.4303399999999993</c:v>
                </c:pt>
                <c:pt idx="71">
                  <c:v>6.4303399999999993</c:v>
                </c:pt>
                <c:pt idx="72">
                  <c:v>6.4303399999999993</c:v>
                </c:pt>
                <c:pt idx="73">
                  <c:v>6.4303399999999993</c:v>
                </c:pt>
                <c:pt idx="74">
                  <c:v>6.4303399999999993</c:v>
                </c:pt>
                <c:pt idx="75">
                  <c:v>6.4303399999999993</c:v>
                </c:pt>
                <c:pt idx="76">
                  <c:v>6.4303399999999993</c:v>
                </c:pt>
                <c:pt idx="77">
                  <c:v>6.4303399999999993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35-4618-9989-4A0223C4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621808"/>
        <c:axId val="2116354320"/>
      </c:lineChart>
      <c:catAx>
        <c:axId val="1344621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Year since first</a:t>
                </a:r>
                <a:r>
                  <a:rPr lang="en-NZ" b="1" baseline="0"/>
                  <a:t> forest planted</a:t>
                </a:r>
                <a:endParaRPr lang="en-NZ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354320"/>
        <c:crosses val="autoZero"/>
        <c:auto val="1"/>
        <c:lblAlgn val="ctr"/>
        <c:lblOffset val="100"/>
        <c:tickLblSkip val="4"/>
        <c:noMultiLvlLbl val="0"/>
      </c:catAx>
      <c:valAx>
        <c:axId val="2116354320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tCO2/ha carbon stored across portfolio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62180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34479255606437E-2"/>
          <c:y val="0.90386722222222204"/>
          <c:w val="0.93207638008126015"/>
          <c:h val="9.6132777777777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2589871198718"/>
          <c:y val="3.8901458456611783E-2"/>
          <c:w val="0.87259861213508061"/>
          <c:h val="0.76191026488913627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'1. Align with reduction targets'!$B$24</c:f>
              <c:strCache>
                <c:ptCount val="1"/>
                <c:pt idx="0">
                  <c:v>Emissions budgets</c:v>
                </c:pt>
              </c:strCache>
            </c:strRef>
          </c:tx>
          <c:spPr>
            <a:solidFill>
              <a:schemeClr val="accent6">
                <a:alpha val="31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Align with reduction targets'!$E$24:$M$24</c15:sqref>
                  </c15:fullRef>
                </c:ext>
              </c:extLst>
              <c:f>'1. Align with reduction targets'!$H$24:$M$24</c:f>
              <c:numCache>
                <c:formatCode>#,##0_ ;[Red]\-#,##0\ </c:formatCode>
                <c:ptCount val="6"/>
                <c:pt idx="0">
                  <c:v>72.5</c:v>
                </c:pt>
                <c:pt idx="1" formatCode="#,##0.0_ ;[Red]\-#,##0.0\ ">
                  <c:v>60.78</c:v>
                </c:pt>
                <c:pt idx="2" formatCode="#,##0.0_ ;[Red]\-#,##0.0\ ">
                  <c:v>60.78</c:v>
                </c:pt>
                <c:pt idx="3" formatCode="#,##0.0_ ;[Red]\-#,##0.0\ ">
                  <c:v>60.78</c:v>
                </c:pt>
                <c:pt idx="4" formatCode="#,##0.0_ ;[Red]\-#,##0.0\ ">
                  <c:v>60.78</c:v>
                </c:pt>
                <c:pt idx="5" formatCode="#,##0.0_ ;[Red]\-#,##0.0\ ">
                  <c:v>60.78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8-48BE-BA4C-BD978D8C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970834816"/>
        <c:axId val="1019279424"/>
      </c:barChart>
      <c:lineChart>
        <c:grouping val="standard"/>
        <c:varyColors val="0"/>
        <c:ser>
          <c:idx val="3"/>
          <c:order val="1"/>
          <c:tx>
            <c:strRef>
              <c:f>'1. Align with reduction targets'!$B$21</c:f>
              <c:strCache>
                <c:ptCount val="1"/>
                <c:pt idx="0">
                  <c:v>Second emissions reduction plan emissions projections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Align with reduction targets'!$E$20:$M$20</c15:sqref>
                  </c15:fullRef>
                </c:ext>
              </c:extLst>
              <c:f>'1. Align with reduction targets'!$H$20:$M$20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Align with reduction targets'!$E$21:$M$21</c15:sqref>
                  </c15:fullRef>
                </c:ext>
              </c:extLst>
              <c:f>'1. Align with reduction targets'!$H$21:$M$21</c:f>
              <c:numCache>
                <c:formatCode>#,##0.0_ ;[Red]\-#,##0.0\ </c:formatCode>
                <c:ptCount val="6"/>
                <c:pt idx="0">
                  <c:v>69.017849740273832</c:v>
                </c:pt>
                <c:pt idx="1">
                  <c:v>65.932055473631763</c:v>
                </c:pt>
                <c:pt idx="2">
                  <c:v>63.673713724902349</c:v>
                </c:pt>
                <c:pt idx="3">
                  <c:v>60.439900642345982</c:v>
                </c:pt>
                <c:pt idx="4">
                  <c:v>57.862514098637185</c:v>
                </c:pt>
                <c:pt idx="5">
                  <c:v>55.17966649960929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8BE-BA4C-BD978D8C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34816"/>
        <c:axId val="1019279424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'1. Align with reduction targets'!$B$22</c15:sqref>
                        </c15:formulaRef>
                      </c:ext>
                    </c:extLst>
                    <c:strCache>
                      <c:ptCount val="1"/>
                      <c:pt idx="0">
                        <c:v>Emissions pathway to meet emissions budget 3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'1. Align with reduction targets'!$E$20:$M$20</c15:sqref>
                        </c15:fullRef>
                        <c15:formulaRef>
                          <c15:sqref>'1. Align with reduction targets'!$H$20:$M$20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'1. Align with reduction targets'!$E$22:$M$22</c15:sqref>
                        </c15:fullRef>
                        <c15:formulaRef>
                          <c15:sqref>'1. Align with reduction targets'!$H$22:$M$22</c15:sqref>
                        </c15:formulaRef>
                      </c:ext>
                    </c:extLst>
                    <c:numCache>
                      <c:formatCode>#,##0.0_ ;[Red]\-#,##0.0\ </c:formatCode>
                      <c:ptCount val="6"/>
                      <c:pt idx="0">
                        <c:v>69.017849740273832</c:v>
                      </c:pt>
                      <c:pt idx="1">
                        <c:v>65.932055473631763</c:v>
                      </c:pt>
                      <c:pt idx="2">
                        <c:v>63.673713724902349</c:v>
                      </c:pt>
                      <c:pt idx="3">
                        <c:v>60.439900642345982</c:v>
                      </c:pt>
                      <c:pt idx="4">
                        <c:v>57.862514098637185</c:v>
                      </c:pt>
                      <c:pt idx="5">
                        <c:v>55.17966649960929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868-48BE-BA4C-BD978D8CBFFB}"/>
                  </c:ext>
                </c:extLst>
              </c15:ser>
            </c15:filteredLineSeries>
          </c:ext>
        </c:extLst>
      </c:lineChart>
      <c:catAx>
        <c:axId val="9708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279424"/>
        <c:crosses val="autoZero"/>
        <c:auto val="1"/>
        <c:lblAlgn val="ctr"/>
        <c:lblOffset val="100"/>
        <c:noMultiLvlLbl val="0"/>
      </c:catAx>
      <c:valAx>
        <c:axId val="1019279424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Mt CO</a:t>
                </a:r>
                <a:r>
                  <a:rPr lang="en-NZ" b="1" baseline="-25000"/>
                  <a:t>2</a:t>
                </a:r>
                <a:r>
                  <a:rPr lang="en-NZ" b="1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83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404801511784205E-2"/>
          <c:y val="0.88634945100711482"/>
          <c:w val="0.85966040134758448"/>
          <c:h val="9.24317578198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1805555555555"/>
          <c:y val="4.0251944444444444E-2"/>
          <c:w val="0.8436993055555555"/>
          <c:h val="0.77777444444444443"/>
        </c:manualLayout>
      </c:layout>
      <c:lineChart>
        <c:grouping val="standard"/>
        <c:varyColors val="0"/>
        <c:ser>
          <c:idx val="0"/>
          <c:order val="0"/>
          <c:tx>
            <c:strRef>
              <c:f>'Technical adjustment review'!$B$13</c:f>
              <c:strCache>
                <c:ptCount val="1"/>
                <c:pt idx="0">
                  <c:v>LFF &amp; gas NZ ETS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'Technical adjustment review'!$C$1:$O$1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'Technical adjustment review'!$C$14:$O$14</c:f>
              <c:numCache>
                <c:formatCode>_-* #,##0.00_-;\-* #,##0.00_-;_-* "-"??_-;_-@_-</c:formatCode>
                <c:ptCount val="13"/>
                <c:pt idx="0">
                  <c:v>26.276636999999994</c:v>
                </c:pt>
                <c:pt idx="1">
                  <c:v>24.219152000000001</c:v>
                </c:pt>
                <c:pt idx="2">
                  <c:v>24.836471000000003</c:v>
                </c:pt>
                <c:pt idx="3">
                  <c:v>25.090509999999998</c:v>
                </c:pt>
                <c:pt idx="4">
                  <c:v>25.546474000000003</c:v>
                </c:pt>
                <c:pt idx="5">
                  <c:v>25.985992000000003</c:v>
                </c:pt>
                <c:pt idx="6">
                  <c:v>26.292869999999997</c:v>
                </c:pt>
                <c:pt idx="7">
                  <c:v>27.575096000000002</c:v>
                </c:pt>
                <c:pt idx="8">
                  <c:v>27.002791520000002</c:v>
                </c:pt>
                <c:pt idx="9">
                  <c:v>27.514198</c:v>
                </c:pt>
                <c:pt idx="10">
                  <c:v>25.712092999999996</c:v>
                </c:pt>
                <c:pt idx="11">
                  <c:v>25.272980000000004</c:v>
                </c:pt>
                <c:pt idx="12">
                  <c:v>25.510043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A-40D5-BBBE-2EDA91AA5212}"/>
            </c:ext>
          </c:extLst>
        </c:ser>
        <c:ser>
          <c:idx val="1"/>
          <c:order val="1"/>
          <c:tx>
            <c:strRef>
              <c:f>'Technical adjustment review'!$B$21</c:f>
              <c:strCache>
                <c:ptCount val="1"/>
                <c:pt idx="0">
                  <c:v>LFF &amp; gas GHG inventory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'Technical adjustment review'!$C$1:$O$1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'Technical adjustment review'!$C$22:$O$22</c:f>
              <c:numCache>
                <c:formatCode>_-* #,##0.00_-;\-* #,##0.00_-;_-* "-"??_-;_-@_-</c:formatCode>
                <c:ptCount val="13"/>
                <c:pt idx="0">
                  <c:v>26.300573143287348</c:v>
                </c:pt>
                <c:pt idx="1">
                  <c:v>25.768727629305275</c:v>
                </c:pt>
                <c:pt idx="2">
                  <c:v>25.913300499238396</c:v>
                </c:pt>
                <c:pt idx="3">
                  <c:v>25.940598303199884</c:v>
                </c:pt>
                <c:pt idx="4">
                  <c:v>26.69924034499477</c:v>
                </c:pt>
                <c:pt idx="5">
                  <c:v>26.864800822889762</c:v>
                </c:pt>
                <c:pt idx="6">
                  <c:v>26.644123208756479</c:v>
                </c:pt>
                <c:pt idx="7">
                  <c:v>28.076293830303818</c:v>
                </c:pt>
                <c:pt idx="8">
                  <c:v>27.63730699960092</c:v>
                </c:pt>
                <c:pt idx="9">
                  <c:v>28.193191779888203</c:v>
                </c:pt>
                <c:pt idx="10">
                  <c:v>26.087410528327883</c:v>
                </c:pt>
                <c:pt idx="11">
                  <c:v>25.543426596508851</c:v>
                </c:pt>
                <c:pt idx="12">
                  <c:v>25.22255479662261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A-40D5-BBBE-2EDA91AA5212}"/>
            </c:ext>
          </c:extLst>
        </c:ser>
        <c:ser>
          <c:idx val="2"/>
          <c:order val="2"/>
          <c:tx>
            <c:strRef>
              <c:f>'Technical adjustment review'!$B$24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'Technical adjustment review'!$C$1:$O$1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'Technical adjustment review'!$C$25:$O$25</c:f>
              <c:numCache>
                <c:formatCode>_-* #,##0.00_-;\-* #,##0.00_-;_-* "-"??_-;_-@_-</c:formatCode>
                <c:ptCount val="13"/>
                <c:pt idx="0">
                  <c:v>2.3936143287354383E-2</c:v>
                </c:pt>
                <c:pt idx="1">
                  <c:v>1.5495756293052736</c:v>
                </c:pt>
                <c:pt idx="2">
                  <c:v>1.0768294992383929</c:v>
                </c:pt>
                <c:pt idx="3">
                  <c:v>0.85008830319988604</c:v>
                </c:pt>
                <c:pt idx="4">
                  <c:v>1.1527663449947667</c:v>
                </c:pt>
                <c:pt idx="5">
                  <c:v>0.87880882288975926</c:v>
                </c:pt>
                <c:pt idx="6">
                  <c:v>0.35125320875648214</c:v>
                </c:pt>
                <c:pt idx="7">
                  <c:v>0.50119783030381626</c:v>
                </c:pt>
                <c:pt idx="8">
                  <c:v>0.63451547960091759</c:v>
                </c:pt>
                <c:pt idx="9">
                  <c:v>0.6789937798882022</c:v>
                </c:pt>
                <c:pt idx="10">
                  <c:v>0.37531752832788712</c:v>
                </c:pt>
                <c:pt idx="11">
                  <c:v>0.27044659650884739</c:v>
                </c:pt>
                <c:pt idx="12">
                  <c:v>-0.28748820337738934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A-40D5-BBBE-2EDA91AA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445424"/>
        <c:axId val="414452912"/>
      </c:lineChart>
      <c:catAx>
        <c:axId val="41444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52912"/>
        <c:crosses val="autoZero"/>
        <c:auto val="1"/>
        <c:lblAlgn val="ctr"/>
        <c:lblOffset val="100"/>
        <c:noMultiLvlLbl val="0"/>
      </c:catAx>
      <c:valAx>
        <c:axId val="41445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000" b="1">
                    <a:solidFill>
                      <a:schemeClr val="accent1"/>
                    </a:solidFill>
                  </a:rPr>
                  <a:t>Emissions reported (Mt CO2e)</a:t>
                </a:r>
              </a:p>
            </c:rich>
          </c:tx>
          <c:layout>
            <c:manualLayout>
              <c:xMode val="edge"/>
              <c:yMode val="edge"/>
              <c:x val="2.8152256944444443E-2"/>
              <c:y val="0.19848416666666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A5D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454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228819444444443E-2"/>
          <c:y val="0.90335833333333315"/>
          <c:w val="0.96510198412698411"/>
          <c:h val="8.2026388888888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55555555555555"/>
          <c:y val="5.6420352677667089E-2"/>
          <c:w val="0.86509965277777778"/>
          <c:h val="0.73514888888888874"/>
        </c:manualLayout>
      </c:layout>
      <c:lineChart>
        <c:grouping val="standard"/>
        <c:varyColors val="0"/>
        <c:ser>
          <c:idx val="3"/>
          <c:order val="0"/>
          <c:tx>
            <c:strRef>
              <c:f>'Technical adjustment review'!$B$35</c:f>
              <c:strCache>
                <c:ptCount val="1"/>
                <c:pt idx="0">
                  <c:v>Coal &amp; steel NZ ETS emissions</c:v>
                </c:pt>
              </c:strCache>
            </c:strRef>
          </c:tx>
          <c:spPr>
            <a:ln w="28575" cap="rnd">
              <a:solidFill>
                <a:srgbClr val="00ACD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review'!$C$1:$O$1</c15:sqref>
                  </c15:fullRef>
                </c:ext>
              </c:extLst>
              <c:f>'Technical adjustment review'!$D$1:$O$1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review'!$C$36:$O$36</c15:sqref>
                  </c15:fullRef>
                </c:ext>
              </c:extLst>
              <c:f>'Technical adjustment review'!$D$36:$O$36</c:f>
              <c:numCache>
                <c:formatCode>_-* #,##0.00_-;\-* #,##0.00_-;_-* "-"??_-;_-@_-</c:formatCode>
                <c:ptCount val="12"/>
                <c:pt idx="0">
                  <c:v>4.2011039999999999</c:v>
                </c:pt>
                <c:pt idx="1">
                  <c:v>7.0559710000000004</c:v>
                </c:pt>
                <c:pt idx="2">
                  <c:v>6.0175419999999997</c:v>
                </c:pt>
                <c:pt idx="3">
                  <c:v>5.7725609999999996</c:v>
                </c:pt>
                <c:pt idx="4">
                  <c:v>5.5197780000000005</c:v>
                </c:pt>
                <c:pt idx="5">
                  <c:v>4.292057999999999</c:v>
                </c:pt>
                <c:pt idx="6">
                  <c:v>4.5181260000000005</c:v>
                </c:pt>
                <c:pt idx="7">
                  <c:v>4.7558514800000005</c:v>
                </c:pt>
                <c:pt idx="8">
                  <c:v>4.9008754999999997</c:v>
                </c:pt>
                <c:pt idx="9">
                  <c:v>4.7983789999999997</c:v>
                </c:pt>
                <c:pt idx="10">
                  <c:v>6.0466499999999996</c:v>
                </c:pt>
                <c:pt idx="11">
                  <c:v>3.9555510000000003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3-40E4-B146-78DB1D6BDFE7}"/>
            </c:ext>
          </c:extLst>
        </c:ser>
        <c:ser>
          <c:idx val="0"/>
          <c:order val="1"/>
          <c:tx>
            <c:strRef>
              <c:f>'Technical adjustment review'!$B$42</c:f>
              <c:strCache>
                <c:ptCount val="1"/>
                <c:pt idx="0">
                  <c:v>Coal &amp; steel GHG inventory</c:v>
                </c:pt>
              </c:strCache>
            </c:strRef>
          </c:tx>
          <c:spPr>
            <a:ln w="28575" cap="rnd">
              <a:solidFill>
                <a:srgbClr val="003A5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review'!$C$1:$O$1</c15:sqref>
                  </c15:fullRef>
                </c:ext>
              </c:extLst>
              <c:f>'Technical adjustment review'!$D$1:$O$1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review'!$C$43:$O$43</c15:sqref>
                  </c15:fullRef>
                </c:ext>
              </c:extLst>
              <c:f>'Technical adjustment review'!$D$43:$O$43</c:f>
              <c:numCache>
                <c:formatCode>_-* #,##0.00_-;\-* #,##0.00_-;_-* "-"??_-;_-@_-</c:formatCode>
                <c:ptCount val="12"/>
                <c:pt idx="0">
                  <c:v>5.8388208177424668</c:v>
                </c:pt>
                <c:pt idx="1">
                  <c:v>7.0441965820777028</c:v>
                </c:pt>
                <c:pt idx="2">
                  <c:v>6.178848930917904</c:v>
                </c:pt>
                <c:pt idx="3">
                  <c:v>5.5433206262460955</c:v>
                </c:pt>
                <c:pt idx="4">
                  <c:v>5.5269423595261911</c:v>
                </c:pt>
                <c:pt idx="5">
                  <c:v>4.5228058007792651</c:v>
                </c:pt>
                <c:pt idx="6">
                  <c:v>4.613868423946113</c:v>
                </c:pt>
                <c:pt idx="7">
                  <c:v>5.207680561270128</c:v>
                </c:pt>
                <c:pt idx="8">
                  <c:v>5.5443276130353851</c:v>
                </c:pt>
                <c:pt idx="9">
                  <c:v>5.2710236286056986</c:v>
                </c:pt>
                <c:pt idx="10">
                  <c:v>6.1590134759776722</c:v>
                </c:pt>
                <c:pt idx="11">
                  <c:v>4.2672371124629915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3-40E4-B146-78DB1D6BDFE7}"/>
            </c:ext>
          </c:extLst>
        </c:ser>
        <c:ser>
          <c:idx val="1"/>
          <c:order val="2"/>
          <c:tx>
            <c:strRef>
              <c:f>'Technical adjustment review'!$B$45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rgbClr val="EF4D7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review'!$C$1:$O$1</c15:sqref>
                  </c15:fullRef>
                </c:ext>
              </c:extLst>
              <c:f>'Technical adjustment review'!$D$1:$O$1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review'!$C$46:$O$46</c15:sqref>
                  </c15:fullRef>
                </c:ext>
              </c:extLst>
              <c:f>'Technical adjustment review'!$D$46:$O$46</c:f>
              <c:numCache>
                <c:formatCode>_-* #,##0.0_-;\-* #,##0.0_-;_-* "-"??_-;_-@_-</c:formatCode>
                <c:ptCount val="12"/>
                <c:pt idx="0">
                  <c:v>1.6377168177424664</c:v>
                </c:pt>
                <c:pt idx="1">
                  <c:v>-1.1774417922297289E-2</c:v>
                </c:pt>
                <c:pt idx="2">
                  <c:v>0.16130693091790455</c:v>
                </c:pt>
                <c:pt idx="3">
                  <c:v>-0.22924037375390435</c:v>
                </c:pt>
                <c:pt idx="4">
                  <c:v>7.1643595261912194E-3</c:v>
                </c:pt>
                <c:pt idx="5">
                  <c:v>0.23074780077926607</c:v>
                </c:pt>
                <c:pt idx="6">
                  <c:v>9.5742423946112473E-2</c:v>
                </c:pt>
                <c:pt idx="7">
                  <c:v>0.451829081270128</c:v>
                </c:pt>
                <c:pt idx="8">
                  <c:v>0.64345211303538508</c:v>
                </c:pt>
                <c:pt idx="9">
                  <c:v>0.47264462860569895</c:v>
                </c:pt>
                <c:pt idx="10">
                  <c:v>0.11236347597767235</c:v>
                </c:pt>
                <c:pt idx="11">
                  <c:v>0.31168611246299133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3-40E4-B146-78DB1D6B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316880"/>
        <c:axId val="1918326032"/>
      </c:lineChart>
      <c:catAx>
        <c:axId val="19183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E7E6E6">
                <a:lumMod val="90000"/>
              </a:srgb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3A5D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26032"/>
        <c:crosses val="autoZero"/>
        <c:auto val="1"/>
        <c:lblAlgn val="ctr"/>
        <c:lblOffset val="100"/>
        <c:noMultiLvlLbl val="0"/>
      </c:catAx>
      <c:valAx>
        <c:axId val="191832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A5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>
                    <a:solidFill>
                      <a:srgbClr val="003A5D"/>
                    </a:solidFill>
                  </a:rPr>
                  <a:t>Emissions reported (Mt CO2e)</a:t>
                </a:r>
              </a:p>
            </c:rich>
          </c:tx>
          <c:layout>
            <c:manualLayout>
              <c:xMode val="edge"/>
              <c:yMode val="edge"/>
              <c:x val="1.9731249999999999E-2"/>
              <c:y val="0.2043641666666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3A5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A5D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780208333333335E-2"/>
          <c:y val="0.88820861111111116"/>
          <c:w val="0.95069560862502667"/>
          <c:h val="9.7840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3A5D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55555555555555"/>
          <c:y val="5.6420352677667089E-2"/>
          <c:w val="0.86509965277777778"/>
          <c:h val="0.73514888888888874"/>
        </c:manualLayout>
      </c:layout>
      <c:lineChart>
        <c:grouping val="standard"/>
        <c:varyColors val="0"/>
        <c:ser>
          <c:idx val="3"/>
          <c:order val="0"/>
          <c:tx>
            <c:strRef>
              <c:f>'Technical adjustment review'!$B$53</c:f>
              <c:strCache>
                <c:ptCount val="1"/>
                <c:pt idx="0">
                  <c:v>Waste NZ ETS emissions</c:v>
                </c:pt>
              </c:strCache>
            </c:strRef>
          </c:tx>
          <c:spPr>
            <a:ln w="28575" cap="rnd">
              <a:solidFill>
                <a:srgbClr val="003A5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review'!$C$1:$O$1</c15:sqref>
                  </c15:fullRef>
                </c:ext>
              </c:extLst>
              <c:f>'Technical adjustment review'!$E$1:$O$1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review'!$C$53:$O$53</c15:sqref>
                  </c15:fullRef>
                </c:ext>
              </c:extLst>
              <c:f>'Technical adjustment review'!$E$53:$O$53</c:f>
              <c:numCache>
                <c:formatCode>_-* #,##0.0_-;\-* #,##0.0_-;_-* "-"??_-;_-@_-</c:formatCode>
                <c:ptCount val="11"/>
                <c:pt idx="0">
                  <c:v>2.7604709999999999</c:v>
                </c:pt>
                <c:pt idx="1">
                  <c:v>1.970356</c:v>
                </c:pt>
                <c:pt idx="2">
                  <c:v>1.3584200000000002</c:v>
                </c:pt>
                <c:pt idx="3">
                  <c:v>1.3458570000000001</c:v>
                </c:pt>
                <c:pt idx="4">
                  <c:v>1.2681120000000001</c:v>
                </c:pt>
                <c:pt idx="5">
                  <c:v>1.303633</c:v>
                </c:pt>
                <c:pt idx="6">
                  <c:v>1.283264</c:v>
                </c:pt>
                <c:pt idx="7">
                  <c:v>1.1736289999999998</c:v>
                </c:pt>
                <c:pt idx="8">
                  <c:v>1.0499749999999999</c:v>
                </c:pt>
                <c:pt idx="9">
                  <c:v>0.98693399999999998</c:v>
                </c:pt>
                <c:pt idx="10">
                  <c:v>0.57422299999999993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6-494C-8E65-D6C7C548A23A}"/>
            </c:ext>
          </c:extLst>
        </c:ser>
        <c:ser>
          <c:idx val="0"/>
          <c:order val="1"/>
          <c:tx>
            <c:strRef>
              <c:f>'Technical adjustment review'!$B$56</c:f>
              <c:strCache>
                <c:ptCount val="1"/>
                <c:pt idx="0">
                  <c:v>Waste GHG inventory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review'!$C$1:$O$1</c15:sqref>
                  </c15:fullRef>
                </c:ext>
              </c:extLst>
              <c:f>'Technical adjustment review'!$E$1:$O$1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review'!$C$57:$O$57</c15:sqref>
                  </c15:fullRef>
                </c:ext>
              </c:extLst>
              <c:f>'Technical adjustment review'!$E$57:$O$57</c:f>
              <c:numCache>
                <c:formatCode>#,##0.0_ ;[Red]\-#,##0.0\ </c:formatCode>
                <c:ptCount val="11"/>
                <c:pt idx="0">
                  <c:v>1.586097144332171</c:v>
                </c:pt>
                <c:pt idx="1">
                  <c:v>1.5294432848817479</c:v>
                </c:pt>
                <c:pt idx="2">
                  <c:v>1.4785145043317085</c:v>
                </c:pt>
                <c:pt idx="3">
                  <c:v>1.4356843429896935</c:v>
                </c:pt>
                <c:pt idx="4">
                  <c:v>1.4019170383455284</c:v>
                </c:pt>
                <c:pt idx="5">
                  <c:v>1.3667845645068244</c:v>
                </c:pt>
                <c:pt idx="6">
                  <c:v>1.2987289759536063</c:v>
                </c:pt>
                <c:pt idx="7">
                  <c:v>1.2516753503592726</c:v>
                </c:pt>
                <c:pt idx="8">
                  <c:v>1.2081094847051903</c:v>
                </c:pt>
                <c:pt idx="9">
                  <c:v>1.1559360746284775</c:v>
                </c:pt>
                <c:pt idx="10">
                  <c:v>1.1216059997882684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6-494C-8E65-D6C7C548A23A}"/>
            </c:ext>
          </c:extLst>
        </c:ser>
        <c:ser>
          <c:idx val="1"/>
          <c:order val="2"/>
          <c:tx>
            <c:strRef>
              <c:f>'Technical adjustment review'!$B$59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rgbClr val="EF4D7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review'!$C$1:$O$1</c15:sqref>
                  </c15:fullRef>
                </c:ext>
              </c:extLst>
              <c:f>'Technical adjustment review'!$E$1:$O$1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'Technical adjustment review'!$C$60:$O$60</c15:sqref>
                  </c15:fullRef>
                </c:ext>
              </c:extLst>
              <c:f>'Technical adjustment review'!$E$60:$O$60</c:f>
              <c:numCache>
                <c:formatCode>_-* #,##0.00_-;\-* #,##0.00_-;_-* "-"??_-;_-@_-</c:formatCode>
                <c:ptCount val="11"/>
                <c:pt idx="0">
                  <c:v>-1.1743738556678291</c:v>
                </c:pt>
                <c:pt idx="1">
                  <c:v>-0.4409127151182522</c:v>
                </c:pt>
                <c:pt idx="2">
                  <c:v>0.12009450433170832</c:v>
                </c:pt>
                <c:pt idx="3">
                  <c:v>8.982734298969354E-2</c:v>
                </c:pt>
                <c:pt idx="4">
                  <c:v>0.13380503834552837</c:v>
                </c:pt>
                <c:pt idx="5">
                  <c:v>6.315156450682434E-2</c:v>
                </c:pt>
                <c:pt idx="6">
                  <c:v>1.5464975953606427E-2</c:v>
                </c:pt>
                <c:pt idx="7">
                  <c:v>7.8046350359272765E-2</c:v>
                </c:pt>
                <c:pt idx="8">
                  <c:v>0.15813448470519029</c:v>
                </c:pt>
                <c:pt idx="9">
                  <c:v>0.16900207462847744</c:v>
                </c:pt>
                <c:pt idx="10">
                  <c:v>0.54738299978826832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6-494C-8E65-D6C7C548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316880"/>
        <c:axId val="1918326032"/>
      </c:lineChart>
      <c:catAx>
        <c:axId val="19183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E7E6E6">
                <a:lumMod val="90000"/>
              </a:srgb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3A5D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26032"/>
        <c:crosses val="autoZero"/>
        <c:auto val="1"/>
        <c:lblAlgn val="ctr"/>
        <c:lblOffset val="100"/>
        <c:noMultiLvlLbl val="0"/>
      </c:catAx>
      <c:valAx>
        <c:axId val="191832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A5D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>
                    <a:solidFill>
                      <a:srgbClr val="003A5D"/>
                    </a:solidFill>
                  </a:rPr>
                  <a:t>Emissions reported (Mt CO2e)</a:t>
                </a:r>
              </a:p>
            </c:rich>
          </c:tx>
          <c:layout>
            <c:manualLayout>
              <c:xMode val="edge"/>
              <c:yMode val="edge"/>
              <c:x val="1.9731249999999999E-2"/>
              <c:y val="0.2043641666666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3A5D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A5D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780208333333335E-2"/>
          <c:y val="0.88820861111111116"/>
          <c:w val="0.95069560862502667"/>
          <c:h val="9.7840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3A5D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28947455038347E-2"/>
          <c:y val="3.8805555555555558E-2"/>
          <c:w val="0.88231272484328815"/>
          <c:h val="0.7788408333333332"/>
        </c:manualLayout>
      </c:layout>
      <c:lineChart>
        <c:grouping val="standard"/>
        <c:varyColors val="0"/>
        <c:ser>
          <c:idx val="0"/>
          <c:order val="0"/>
          <c:tx>
            <c:strRef>
              <c:f>'P90 units held long-term'!$A$93</c:f>
              <c:strCache>
                <c:ptCount val="1"/>
                <c:pt idx="0">
                  <c:v>Historic transfers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'P90 units held long-term'!$N$92:$BE$92</c:f>
              <c:numCache>
                <c:formatCode>yyyy</c:formatCode>
                <c:ptCount val="44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  <c:pt idx="17">
                  <c:v>45473</c:v>
                </c:pt>
                <c:pt idx="18">
                  <c:v>45565</c:v>
                </c:pt>
                <c:pt idx="19">
                  <c:v>45657</c:v>
                </c:pt>
                <c:pt idx="20">
                  <c:v>45747</c:v>
                </c:pt>
                <c:pt idx="21">
                  <c:v>45838</c:v>
                </c:pt>
                <c:pt idx="22">
                  <c:v>45930</c:v>
                </c:pt>
                <c:pt idx="23">
                  <c:v>46022</c:v>
                </c:pt>
                <c:pt idx="24">
                  <c:v>46112</c:v>
                </c:pt>
                <c:pt idx="25">
                  <c:v>46203</c:v>
                </c:pt>
                <c:pt idx="26">
                  <c:v>46295</c:v>
                </c:pt>
                <c:pt idx="27">
                  <c:v>46387</c:v>
                </c:pt>
                <c:pt idx="28">
                  <c:v>46477</c:v>
                </c:pt>
                <c:pt idx="29">
                  <c:v>46568</c:v>
                </c:pt>
                <c:pt idx="30">
                  <c:v>46660</c:v>
                </c:pt>
                <c:pt idx="31">
                  <c:v>46752</c:v>
                </c:pt>
                <c:pt idx="32">
                  <c:v>46843</c:v>
                </c:pt>
                <c:pt idx="33">
                  <c:v>46934</c:v>
                </c:pt>
                <c:pt idx="34">
                  <c:v>47026</c:v>
                </c:pt>
                <c:pt idx="35">
                  <c:v>47118</c:v>
                </c:pt>
                <c:pt idx="36">
                  <c:v>47208</c:v>
                </c:pt>
                <c:pt idx="37">
                  <c:v>47299</c:v>
                </c:pt>
                <c:pt idx="38">
                  <c:v>47391</c:v>
                </c:pt>
                <c:pt idx="39">
                  <c:v>47483</c:v>
                </c:pt>
                <c:pt idx="40">
                  <c:v>47573</c:v>
                </c:pt>
                <c:pt idx="41">
                  <c:v>47664</c:v>
                </c:pt>
                <c:pt idx="42">
                  <c:v>47756</c:v>
                </c:pt>
                <c:pt idx="43">
                  <c:v>47848</c:v>
                </c:pt>
              </c:numCache>
            </c:numRef>
          </c:cat>
          <c:val>
            <c:numRef>
              <c:f>'P90 units held long-term'!$N$93:$BE$93</c:f>
              <c:numCache>
                <c:formatCode>#,##0.000_ ;[Red]\-#,##0.000\ </c:formatCode>
                <c:ptCount val="44"/>
                <c:pt idx="0">
                  <c:v>19.049208</c:v>
                </c:pt>
                <c:pt idx="1">
                  <c:v>17.091308999999995</c:v>
                </c:pt>
                <c:pt idx="2">
                  <c:v>16.861643000000001</c:v>
                </c:pt>
                <c:pt idx="3">
                  <c:v>16.528337000000001</c:v>
                </c:pt>
                <c:pt idx="4">
                  <c:v>16.396218999999999</c:v>
                </c:pt>
                <c:pt idx="5">
                  <c:v>16.806373000000001</c:v>
                </c:pt>
                <c:pt idx="6">
                  <c:v>16.821126</c:v>
                </c:pt>
                <c:pt idx="7">
                  <c:v>16.669232999999998</c:v>
                </c:pt>
                <c:pt idx="8">
                  <c:v>16.397404999999999</c:v>
                </c:pt>
                <c:pt idx="9">
                  <c:v>16.162192000000001</c:v>
                </c:pt>
                <c:pt idx="10">
                  <c:v>14.897997</c:v>
                </c:pt>
                <c:pt idx="11">
                  <c:v>14.764186</c:v>
                </c:pt>
                <c:pt idx="12">
                  <c:v>14.771926000000001</c:v>
                </c:pt>
                <c:pt idx="13">
                  <c:v>14.358048999999999</c:v>
                </c:pt>
                <c:pt idx="14">
                  <c:v>14.199057</c:v>
                </c:pt>
                <c:pt idx="15">
                  <c:v>13.32</c:v>
                </c:pt>
                <c:pt idx="16">
                  <c:v>12.7</c:v>
                </c:pt>
                <c:pt idx="17">
                  <c:v>12.49</c:v>
                </c:pt>
                <c:pt idx="18">
                  <c:v>12.007861</c:v>
                </c:pt>
                <c:pt idx="19">
                  <c:v>11.540391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F-4E94-9CCA-9C53590AC3CD}"/>
            </c:ext>
          </c:extLst>
        </c:ser>
        <c:ser>
          <c:idx val="1"/>
          <c:order val="1"/>
          <c:tx>
            <c:strRef>
              <c:f>'P90 units held long-term'!$A$94</c:f>
              <c:strCache>
                <c:ptCount val="1"/>
                <c:pt idx="0">
                  <c:v>Fast transfers path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'P90 units held long-term'!$N$92:$BE$92</c:f>
              <c:numCache>
                <c:formatCode>yyyy</c:formatCode>
                <c:ptCount val="44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  <c:pt idx="17">
                  <c:v>45473</c:v>
                </c:pt>
                <c:pt idx="18">
                  <c:v>45565</c:v>
                </c:pt>
                <c:pt idx="19">
                  <c:v>45657</c:v>
                </c:pt>
                <c:pt idx="20">
                  <c:v>45747</c:v>
                </c:pt>
                <c:pt idx="21">
                  <c:v>45838</c:v>
                </c:pt>
                <c:pt idx="22">
                  <c:v>45930</c:v>
                </c:pt>
                <c:pt idx="23">
                  <c:v>46022</c:v>
                </c:pt>
                <c:pt idx="24">
                  <c:v>46112</c:v>
                </c:pt>
                <c:pt idx="25">
                  <c:v>46203</c:v>
                </c:pt>
                <c:pt idx="26">
                  <c:v>46295</c:v>
                </c:pt>
                <c:pt idx="27">
                  <c:v>46387</c:v>
                </c:pt>
                <c:pt idx="28">
                  <c:v>46477</c:v>
                </c:pt>
                <c:pt idx="29">
                  <c:v>46568</c:v>
                </c:pt>
                <c:pt idx="30">
                  <c:v>46660</c:v>
                </c:pt>
                <c:pt idx="31">
                  <c:v>46752</c:v>
                </c:pt>
                <c:pt idx="32">
                  <c:v>46843</c:v>
                </c:pt>
                <c:pt idx="33">
                  <c:v>46934</c:v>
                </c:pt>
                <c:pt idx="34">
                  <c:v>47026</c:v>
                </c:pt>
                <c:pt idx="35">
                  <c:v>47118</c:v>
                </c:pt>
                <c:pt idx="36">
                  <c:v>47208</c:v>
                </c:pt>
                <c:pt idx="37">
                  <c:v>47299</c:v>
                </c:pt>
                <c:pt idx="38">
                  <c:v>47391</c:v>
                </c:pt>
                <c:pt idx="39">
                  <c:v>47483</c:v>
                </c:pt>
                <c:pt idx="40">
                  <c:v>47573</c:v>
                </c:pt>
                <c:pt idx="41">
                  <c:v>47664</c:v>
                </c:pt>
                <c:pt idx="42">
                  <c:v>47756</c:v>
                </c:pt>
                <c:pt idx="43">
                  <c:v>47848</c:v>
                </c:pt>
              </c:numCache>
            </c:numRef>
          </c:cat>
          <c:val>
            <c:numRef>
              <c:f>'P90 units held long-term'!$N$94:$BE$94</c:f>
              <c:numCache>
                <c:formatCode>#,##0.000_ ;[Red]\-#,##0.000\ </c:formatCode>
                <c:ptCount val="44"/>
                <c:pt idx="19">
                  <c:v>11.540391</c:v>
                </c:pt>
                <c:pt idx="20">
                  <c:v>10.963371449999999</c:v>
                </c:pt>
                <c:pt idx="21">
                  <c:v>10.415202877499999</c:v>
                </c:pt>
                <c:pt idx="22">
                  <c:v>9.8944427336250005</c:v>
                </c:pt>
                <c:pt idx="23">
                  <c:v>9.3997205969437516</c:v>
                </c:pt>
                <c:pt idx="24">
                  <c:v>8.9297345670965633</c:v>
                </c:pt>
                <c:pt idx="25">
                  <c:v>8.4832478387417343</c:v>
                </c:pt>
                <c:pt idx="26">
                  <c:v>8.059085446804648</c:v>
                </c:pt>
                <c:pt idx="27">
                  <c:v>7.6561311744644156</c:v>
                </c:pt>
                <c:pt idx="28">
                  <c:v>7.2733246157411955</c:v>
                </c:pt>
                <c:pt idx="29">
                  <c:v>6.9096583849541355</c:v>
                </c:pt>
                <c:pt idx="30">
                  <c:v>6.5641754657064295</c:v>
                </c:pt>
                <c:pt idx="31">
                  <c:v>6.2359666924211075</c:v>
                </c:pt>
                <c:pt idx="32">
                  <c:v>5.9241683578000526</c:v>
                </c:pt>
                <c:pt idx="33">
                  <c:v>5.6279599399100499</c:v>
                </c:pt>
                <c:pt idx="34">
                  <c:v>5.3465619429145477</c:v>
                </c:pt>
                <c:pt idx="35">
                  <c:v>5.0792338457688206</c:v>
                </c:pt>
                <c:pt idx="36">
                  <c:v>4.8252721534803795</c:v>
                </c:pt>
                <c:pt idx="37">
                  <c:v>4.5840085458063609</c:v>
                </c:pt>
                <c:pt idx="38">
                  <c:v>4.3548081185160425</c:v>
                </c:pt>
                <c:pt idx="39">
                  <c:v>4.1370677125902411</c:v>
                </c:pt>
                <c:pt idx="40">
                  <c:v>3.930214326960729</c:v>
                </c:pt>
                <c:pt idx="41">
                  <c:v>3.7337036106126922</c:v>
                </c:pt>
                <c:pt idx="42">
                  <c:v>3.5470184300820575</c:v>
                </c:pt>
                <c:pt idx="43">
                  <c:v>3.3696675085779551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F-4E94-9CCA-9C53590AC3CD}"/>
            </c:ext>
          </c:extLst>
        </c:ser>
        <c:ser>
          <c:idx val="2"/>
          <c:order val="2"/>
          <c:tx>
            <c:strRef>
              <c:f>'P90 units held long-term'!$A$95</c:f>
              <c:strCache>
                <c:ptCount val="1"/>
                <c:pt idx="0">
                  <c:v>Central transfers path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'P90 units held long-term'!$N$92:$BE$92</c:f>
              <c:numCache>
                <c:formatCode>yyyy</c:formatCode>
                <c:ptCount val="44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  <c:pt idx="17">
                  <c:v>45473</c:v>
                </c:pt>
                <c:pt idx="18">
                  <c:v>45565</c:v>
                </c:pt>
                <c:pt idx="19">
                  <c:v>45657</c:v>
                </c:pt>
                <c:pt idx="20">
                  <c:v>45747</c:v>
                </c:pt>
                <c:pt idx="21">
                  <c:v>45838</c:v>
                </c:pt>
                <c:pt idx="22">
                  <c:v>45930</c:v>
                </c:pt>
                <c:pt idx="23">
                  <c:v>46022</c:v>
                </c:pt>
                <c:pt idx="24">
                  <c:v>46112</c:v>
                </c:pt>
                <c:pt idx="25">
                  <c:v>46203</c:v>
                </c:pt>
                <c:pt idx="26">
                  <c:v>46295</c:v>
                </c:pt>
                <c:pt idx="27">
                  <c:v>46387</c:v>
                </c:pt>
                <c:pt idx="28">
                  <c:v>46477</c:v>
                </c:pt>
                <c:pt idx="29">
                  <c:v>46568</c:v>
                </c:pt>
                <c:pt idx="30">
                  <c:v>46660</c:v>
                </c:pt>
                <c:pt idx="31">
                  <c:v>46752</c:v>
                </c:pt>
                <c:pt idx="32">
                  <c:v>46843</c:v>
                </c:pt>
                <c:pt idx="33">
                  <c:v>46934</c:v>
                </c:pt>
                <c:pt idx="34">
                  <c:v>47026</c:v>
                </c:pt>
                <c:pt idx="35">
                  <c:v>47118</c:v>
                </c:pt>
                <c:pt idx="36">
                  <c:v>47208</c:v>
                </c:pt>
                <c:pt idx="37">
                  <c:v>47299</c:v>
                </c:pt>
                <c:pt idx="38">
                  <c:v>47391</c:v>
                </c:pt>
                <c:pt idx="39">
                  <c:v>47483</c:v>
                </c:pt>
                <c:pt idx="40">
                  <c:v>47573</c:v>
                </c:pt>
                <c:pt idx="41">
                  <c:v>47664</c:v>
                </c:pt>
                <c:pt idx="42">
                  <c:v>47756</c:v>
                </c:pt>
                <c:pt idx="43">
                  <c:v>47848</c:v>
                </c:pt>
              </c:numCache>
            </c:numRef>
          </c:cat>
          <c:val>
            <c:numRef>
              <c:f>'P90 units held long-term'!$N$95:$BE$95</c:f>
              <c:numCache>
                <c:formatCode>#,##0.000_ ;[Red]\-#,##0.000\ </c:formatCode>
                <c:ptCount val="44"/>
                <c:pt idx="19">
                  <c:v>11.540391</c:v>
                </c:pt>
                <c:pt idx="20">
                  <c:v>11.194179269999999</c:v>
                </c:pt>
                <c:pt idx="21">
                  <c:v>10.858353891899998</c:v>
                </c:pt>
                <c:pt idx="22">
                  <c:v>10.532603275143</c:v>
                </c:pt>
                <c:pt idx="23">
                  <c:v>10.21662517688871</c:v>
                </c:pt>
                <c:pt idx="24">
                  <c:v>9.9101264215820493</c:v>
                </c:pt>
                <c:pt idx="25">
                  <c:v>9.6128226289345857</c:v>
                </c:pt>
                <c:pt idx="26">
                  <c:v>9.3244379500665495</c:v>
                </c:pt>
                <c:pt idx="27">
                  <c:v>9.0447048115645536</c:v>
                </c:pt>
                <c:pt idx="28">
                  <c:v>8.7733636672176161</c:v>
                </c:pt>
                <c:pt idx="29">
                  <c:v>8.5101627572010869</c:v>
                </c:pt>
                <c:pt idx="30">
                  <c:v>8.2548578744850545</c:v>
                </c:pt>
                <c:pt idx="31">
                  <c:v>8.0072121382505035</c:v>
                </c:pt>
                <c:pt idx="32">
                  <c:v>7.7669957741029876</c:v>
                </c:pt>
                <c:pt idx="33">
                  <c:v>7.5339859008798982</c:v>
                </c:pt>
                <c:pt idx="34">
                  <c:v>7.3079663238535009</c:v>
                </c:pt>
                <c:pt idx="35">
                  <c:v>7.0887273341378965</c:v>
                </c:pt>
                <c:pt idx="36">
                  <c:v>6.8760655141137592</c:v>
                </c:pt>
                <c:pt idx="37">
                  <c:v>6.6697835486903472</c:v>
                </c:pt>
                <c:pt idx="38">
                  <c:v>6.4696900422296366</c:v>
                </c:pt>
                <c:pt idx="39">
                  <c:v>6.2755993409627475</c:v>
                </c:pt>
                <c:pt idx="40">
                  <c:v>6.0873313607338648</c:v>
                </c:pt>
                <c:pt idx="41">
                  <c:v>5.9047114199118491</c:v>
                </c:pt>
                <c:pt idx="42">
                  <c:v>5.7275700773144944</c:v>
                </c:pt>
                <c:pt idx="43">
                  <c:v>5.5557429749950593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F-4E94-9CCA-9C53590AC3CD}"/>
            </c:ext>
          </c:extLst>
        </c:ser>
        <c:ser>
          <c:idx val="3"/>
          <c:order val="3"/>
          <c:tx>
            <c:strRef>
              <c:f>'P90 units held long-term'!$A$96</c:f>
              <c:strCache>
                <c:ptCount val="1"/>
                <c:pt idx="0">
                  <c:v>Slow transfers path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'P90 units held long-term'!$N$92:$BE$92</c:f>
              <c:numCache>
                <c:formatCode>yyyy</c:formatCode>
                <c:ptCount val="44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  <c:pt idx="17">
                  <c:v>45473</c:v>
                </c:pt>
                <c:pt idx="18">
                  <c:v>45565</c:v>
                </c:pt>
                <c:pt idx="19">
                  <c:v>45657</c:v>
                </c:pt>
                <c:pt idx="20">
                  <c:v>45747</c:v>
                </c:pt>
                <c:pt idx="21">
                  <c:v>45838</c:v>
                </c:pt>
                <c:pt idx="22">
                  <c:v>45930</c:v>
                </c:pt>
                <c:pt idx="23">
                  <c:v>46022</c:v>
                </c:pt>
                <c:pt idx="24">
                  <c:v>46112</c:v>
                </c:pt>
                <c:pt idx="25">
                  <c:v>46203</c:v>
                </c:pt>
                <c:pt idx="26">
                  <c:v>46295</c:v>
                </c:pt>
                <c:pt idx="27">
                  <c:v>46387</c:v>
                </c:pt>
                <c:pt idx="28">
                  <c:v>46477</c:v>
                </c:pt>
                <c:pt idx="29">
                  <c:v>46568</c:v>
                </c:pt>
                <c:pt idx="30">
                  <c:v>46660</c:v>
                </c:pt>
                <c:pt idx="31">
                  <c:v>46752</c:v>
                </c:pt>
                <c:pt idx="32">
                  <c:v>46843</c:v>
                </c:pt>
                <c:pt idx="33">
                  <c:v>46934</c:v>
                </c:pt>
                <c:pt idx="34">
                  <c:v>47026</c:v>
                </c:pt>
                <c:pt idx="35">
                  <c:v>47118</c:v>
                </c:pt>
                <c:pt idx="36">
                  <c:v>47208</c:v>
                </c:pt>
                <c:pt idx="37">
                  <c:v>47299</c:v>
                </c:pt>
                <c:pt idx="38">
                  <c:v>47391</c:v>
                </c:pt>
                <c:pt idx="39">
                  <c:v>47483</c:v>
                </c:pt>
                <c:pt idx="40">
                  <c:v>47573</c:v>
                </c:pt>
                <c:pt idx="41">
                  <c:v>47664</c:v>
                </c:pt>
                <c:pt idx="42">
                  <c:v>47756</c:v>
                </c:pt>
                <c:pt idx="43">
                  <c:v>47848</c:v>
                </c:pt>
              </c:numCache>
            </c:numRef>
          </c:cat>
          <c:val>
            <c:numRef>
              <c:f>'P90 units held long-term'!$N$96:$BE$96</c:f>
              <c:numCache>
                <c:formatCode>#,##0.000_ ;[Red]\-#,##0.000\ </c:formatCode>
                <c:ptCount val="44"/>
                <c:pt idx="19">
                  <c:v>11.540391</c:v>
                </c:pt>
                <c:pt idx="20">
                  <c:v>11.42498709</c:v>
                </c:pt>
                <c:pt idx="21">
                  <c:v>11.3107372191</c:v>
                </c:pt>
                <c:pt idx="22">
                  <c:v>11.197629846908999</c:v>
                </c:pt>
                <c:pt idx="23">
                  <c:v>11.085653548439909</c:v>
                </c:pt>
                <c:pt idx="24">
                  <c:v>10.974797012955509</c:v>
                </c:pt>
                <c:pt idx="25">
                  <c:v>10.865049042825953</c:v>
                </c:pt>
                <c:pt idx="26">
                  <c:v>10.756398552397695</c:v>
                </c:pt>
                <c:pt idx="27">
                  <c:v>10.648834566873719</c:v>
                </c:pt>
                <c:pt idx="28">
                  <c:v>10.542346221204982</c:v>
                </c:pt>
                <c:pt idx="29">
                  <c:v>10.436922758992932</c:v>
                </c:pt>
                <c:pt idx="30">
                  <c:v>10.332553531403001</c:v>
                </c:pt>
                <c:pt idx="31">
                  <c:v>10.229227996088971</c:v>
                </c:pt>
                <c:pt idx="32">
                  <c:v>10.126935716128081</c:v>
                </c:pt>
                <c:pt idx="33">
                  <c:v>10.025666358966799</c:v>
                </c:pt>
                <c:pt idx="34">
                  <c:v>9.925409695377132</c:v>
                </c:pt>
                <c:pt idx="35">
                  <c:v>9.8261555984233606</c:v>
                </c:pt>
                <c:pt idx="36">
                  <c:v>9.7278940424391251</c:v>
                </c:pt>
                <c:pt idx="37">
                  <c:v>9.6306151020147333</c:v>
                </c:pt>
                <c:pt idx="38">
                  <c:v>9.5343089509945873</c:v>
                </c:pt>
                <c:pt idx="39">
                  <c:v>9.4389658614846415</c:v>
                </c:pt>
                <c:pt idx="40">
                  <c:v>9.3445762028697956</c:v>
                </c:pt>
                <c:pt idx="41">
                  <c:v>9.2511304408410968</c:v>
                </c:pt>
                <c:pt idx="42">
                  <c:v>9.1586191364326872</c:v>
                </c:pt>
                <c:pt idx="43">
                  <c:v>9.0670329450683589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F-4E94-9CCA-9C53590A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655264"/>
        <c:axId val="617467008"/>
      </c:lineChart>
      <c:dateAx>
        <c:axId val="520655264"/>
        <c:scaling>
          <c:orientation val="minMax"/>
          <c:max val="47818"/>
          <c:min val="4416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467008"/>
        <c:crosses val="autoZero"/>
        <c:auto val="1"/>
        <c:lblOffset val="100"/>
        <c:baseTimeUnit val="months"/>
        <c:majorUnit val="12"/>
        <c:majorTimeUnit val="months"/>
      </c:dateAx>
      <c:valAx>
        <c:axId val="617467008"/>
        <c:scaling>
          <c:orientation val="minMax"/>
          <c:max val="18"/>
          <c:min val="0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P90 NZUs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65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486458333333332E-2"/>
          <c:y val="0.89441003079630443"/>
          <c:w val="0.8756211805555556"/>
          <c:h val="0.10558996920369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3485468180064"/>
          <c:y val="3.8805555555555558E-2"/>
          <c:w val="0.8288809566148948"/>
          <c:h val="0.777491049303069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'Tech annex 1 tables &amp; graphs'!$E$239</c:f>
              <c:strCache>
                <c:ptCount val="1"/>
                <c:pt idx="0">
                  <c:v>Pre-1990 units held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'Tech annex 1 tables &amp; graphs'!$F$239:$G$239</c:f>
              <c:numCache>
                <c:formatCode>#,##0.0_ ;[Red]\-#,##0.0\ </c:formatCode>
                <c:ptCount val="2"/>
                <c:pt idx="0">
                  <c:v>11.540391</c:v>
                </c:pt>
                <c:pt idx="1">
                  <c:v>5.5557429749950593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7-45D3-917A-48D4DB31274F}"/>
            </c:ext>
          </c:extLst>
        </c:ser>
        <c:ser>
          <c:idx val="3"/>
          <c:order val="1"/>
          <c:tx>
            <c:strRef>
              <c:f>'Tech annex 1 tables &amp; graphs'!$E$241</c:f>
              <c:strCache>
                <c:ptCount val="1"/>
                <c:pt idx="0">
                  <c:v>Hedging volume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'Tech annex 1 tables &amp; graphs'!$F$238:$G$238</c:f>
              <c:numCache>
                <c:formatCode>General</c:formatCode>
                <c:ptCount val="2"/>
                <c:pt idx="0">
                  <c:v>2024</c:v>
                </c:pt>
                <c:pt idx="1">
                  <c:v>2030</c:v>
                </c:pt>
              </c:numCache>
            </c:numRef>
          </c:cat>
          <c:val>
            <c:numRef>
              <c:f>'Tech annex 1 tables &amp; graphs'!$F$241:$G$241</c:f>
              <c:numCache>
                <c:formatCode>#,##0.0_ ;[Red]\-#,##0.0\ </c:formatCode>
                <c:ptCount val="2"/>
                <c:pt idx="0">
                  <c:v>25.147747442611148</c:v>
                </c:pt>
                <c:pt idx="1">
                  <c:v>17.366288382237325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7-45D3-917A-48D4DB31274F}"/>
            </c:ext>
          </c:extLst>
        </c:ser>
        <c:ser>
          <c:idx val="5"/>
          <c:order val="2"/>
          <c:tx>
            <c:strRef>
              <c:f>'Tech annex 1 tables &amp; graphs'!$E$243</c:f>
              <c:strCache>
                <c:ptCount val="1"/>
                <c:pt idx="0">
                  <c:v>Additional surplus units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'Tech annex 1 tables &amp; graphs'!$F$238:$G$238</c:f>
              <c:numCache>
                <c:formatCode>General</c:formatCode>
                <c:ptCount val="2"/>
                <c:pt idx="0">
                  <c:v>2024</c:v>
                </c:pt>
                <c:pt idx="1">
                  <c:v>2030</c:v>
                </c:pt>
              </c:numCache>
            </c:numRef>
          </c:cat>
          <c:val>
            <c:numRef>
              <c:f>'Tech annex 1 tables &amp; graphs'!$F$243:$G$243</c:f>
              <c:numCache>
                <c:formatCode>#,##0.0_ ;[Red]\-#,##0.0\ </c:formatCode>
                <c:ptCount val="2"/>
                <c:pt idx="1">
                  <c:v>13.766107085378763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7-45D3-917A-48D4DB31274F}"/>
            </c:ext>
          </c:extLst>
        </c:ser>
        <c:ser>
          <c:idx val="4"/>
          <c:order val="3"/>
          <c:tx>
            <c:strRef>
              <c:f>'Tech annex 1 tables &amp; graphs'!$E$242</c:f>
              <c:strCache>
                <c:ptCount val="1"/>
                <c:pt idx="0">
                  <c:v>2024 base surplus</c:v>
                </c:pt>
              </c:strCache>
            </c:strRef>
          </c:tx>
          <c:spPr>
            <a:solidFill>
              <a:schemeClr val="accent5"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'Tech annex 1 tables &amp; graphs'!$F$238:$G$238</c:f>
              <c:numCache>
                <c:formatCode>General</c:formatCode>
                <c:ptCount val="2"/>
                <c:pt idx="0">
                  <c:v>2024</c:v>
                </c:pt>
                <c:pt idx="1">
                  <c:v>2030</c:v>
                </c:pt>
              </c:numCache>
            </c:numRef>
          </c:cat>
          <c:val>
            <c:numRef>
              <c:f>'Tech annex 1 tables &amp; graphs'!$F$242:$G$242</c:f>
              <c:numCache>
                <c:formatCode>#,##0.0_ ;[Red]\-#,##0.0\ </c:formatCode>
                <c:ptCount val="2"/>
                <c:pt idx="0">
                  <c:v>36.392800078755037</c:v>
                </c:pt>
                <c:pt idx="1">
                  <c:v>36.392800078755037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7-45D3-917A-48D4DB31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7"/>
        <c:overlap val="100"/>
        <c:axId val="364102352"/>
        <c:axId val="232931584"/>
      </c:barChart>
      <c:lineChart>
        <c:grouping val="standard"/>
        <c:varyColors val="0"/>
        <c:ser>
          <c:idx val="6"/>
          <c:order val="4"/>
          <c:tx>
            <c:strRef>
              <c:f>'Tech annex 1 tables &amp; graphs'!$E$244</c:f>
              <c:strCache>
                <c:ptCount val="1"/>
                <c:pt idx="0">
                  <c:v>Reduction path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accent1">
                    <a:alpha val="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7-45D3-917A-48D4DB31274F}"/>
              </c:ext>
            </c:extLst>
          </c:dPt>
          <c:val>
            <c:numRef>
              <c:f>'Tech annex 1 tables &amp; graphs'!$F$244:$G$244</c:f>
              <c:numCache>
                <c:formatCode>#,##0.0_ ;[Red]\-#,##0.0\ </c:formatCode>
                <c:ptCount val="2"/>
                <c:pt idx="0">
                  <c:v>73.080938521366193</c:v>
                </c:pt>
                <c:pt idx="1">
                  <c:v>22.922031357232385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47-45D3-917A-48D4DB31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02352"/>
        <c:axId val="232931584"/>
      </c:lineChart>
      <c:catAx>
        <c:axId val="3641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931584"/>
        <c:crosses val="autoZero"/>
        <c:auto val="1"/>
        <c:lblAlgn val="ctr"/>
        <c:lblOffset val="100"/>
        <c:noMultiLvlLbl val="0"/>
      </c:catAx>
      <c:valAx>
        <c:axId val="23293158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/>
                  <a:t>NZUs (millions)</a:t>
                </a:r>
              </a:p>
            </c:rich>
          </c:tx>
          <c:layout>
            <c:manualLayout>
              <c:xMode val="edge"/>
              <c:yMode val="edge"/>
              <c:x val="1.6245104374943073E-2"/>
              <c:y val="0.36339833333333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0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8.4707277836999731E-2"/>
          <c:y val="0.88950444750247526"/>
          <c:w val="0.85309304268672981"/>
          <c:h val="0.11024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1977190597626"/>
          <c:y val="3.8839820908668311E-2"/>
          <c:w val="0.69438308655619996"/>
          <c:h val="0.80134070706884808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'Tech annex 1 tables &amp; graphs'!$E$318:$E$320</c:f>
              <c:strCache>
                <c:ptCount val="3"/>
                <c:pt idx="0">
                  <c:v>2025 updated estimated range</c:v>
                </c:pt>
                <c:pt idx="1">
                  <c:v>2024 estimated range</c:v>
                </c:pt>
                <c:pt idx="2">
                  <c:v>EY Report</c:v>
                </c:pt>
              </c:strCache>
            </c:strRef>
          </c:cat>
          <c:val>
            <c:numRef>
              <c:f>'Tech annex 1 tables &amp; graphs'!$F$318:$F$320</c:f>
              <c:numCache>
                <c:formatCode>#,##0.0_ ;[Red]\-#,##0.0\ </c:formatCode>
                <c:ptCount val="3"/>
                <c:pt idx="0">
                  <c:v>28.412813919742661</c:v>
                </c:pt>
                <c:pt idx="1">
                  <c:v>36.31</c:v>
                </c:pt>
                <c:pt idx="2">
                  <c:v>20.91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B-4F30-AEB6-A9BACC1415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FB-4F30-AEB6-A9BACC14150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FB-4F30-AEB6-A9BACC14150E}"/>
              </c:ext>
            </c:extLst>
          </c:dPt>
          <c:cat>
            <c:strRef>
              <c:f>'Tech annex 1 tables &amp; graphs'!$E$318:$E$320</c:f>
              <c:strCache>
                <c:ptCount val="3"/>
                <c:pt idx="0">
                  <c:v>2025 updated estimated range</c:v>
                </c:pt>
                <c:pt idx="1">
                  <c:v>2024 estimated range</c:v>
                </c:pt>
                <c:pt idx="2">
                  <c:v>EY Report</c:v>
                </c:pt>
              </c:strCache>
            </c:strRef>
          </c:cat>
          <c:val>
            <c:numRef>
              <c:f>'Tech annex 1 tables &amp; graphs'!$G$318:$G$320</c:f>
              <c:numCache>
                <c:formatCode>#,##0.0_ ;[Red]\-#,##0.0\ </c:formatCode>
                <c:ptCount val="3"/>
                <c:pt idx="0">
                  <c:v>21.746093244391147</c:v>
                </c:pt>
                <c:pt idx="1">
                  <c:v>16.799999999999997</c:v>
                </c:pt>
                <c:pt idx="2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FB-4F30-AEB6-A9BACC14150E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FB-4F30-AEB6-A9BACC14150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FB-4F30-AEB6-A9BACC14150E}"/>
              </c:ext>
            </c:extLst>
          </c:dPt>
          <c:cat>
            <c:strRef>
              <c:f>'Tech annex 1 tables &amp; graphs'!$E$318:$E$320</c:f>
              <c:strCache>
                <c:ptCount val="3"/>
                <c:pt idx="0">
                  <c:v>2025 updated estimated range</c:v>
                </c:pt>
                <c:pt idx="1">
                  <c:v>2024 estimated range</c:v>
                </c:pt>
                <c:pt idx="2">
                  <c:v>EY Report</c:v>
                </c:pt>
              </c:strCache>
            </c:strRef>
          </c:cat>
          <c:val>
            <c:numRef>
              <c:f>'Tech annex 1 tables &amp; graphs'!$H$318:$H$320</c:f>
              <c:numCache>
                <c:formatCode>#,##0.0_ ;[Red]\-#,##0.0\ </c:formatCode>
                <c:ptCount val="3"/>
                <c:pt idx="0">
                  <c:v>17.55257012093881</c:v>
                </c:pt>
                <c:pt idx="1">
                  <c:v>16.400000000000006</c:v>
                </c:pt>
                <c:pt idx="2">
                  <c:v>12.100000000000001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FB-4F30-AEB6-A9BACC141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326976"/>
        <c:axId val="486142080"/>
      </c:barChart>
      <c:catAx>
        <c:axId val="54032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142080"/>
        <c:crosses val="autoZero"/>
        <c:auto val="1"/>
        <c:lblAlgn val="ctr"/>
        <c:lblOffset val="0"/>
        <c:noMultiLvlLbl val="0"/>
      </c:catAx>
      <c:valAx>
        <c:axId val="486142080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rgbClr val="A6C0CB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b="1">
                    <a:solidFill>
                      <a:schemeClr val="accent1"/>
                    </a:solidFill>
                  </a:rPr>
                  <a:t>Surplus volume (million 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269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247651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3CBED2-9A2B-4ACC-A251-CB7334F0D0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43150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78</xdr:row>
      <xdr:rowOff>36739</xdr:rowOff>
    </xdr:from>
    <xdr:to>
      <xdr:col>4</xdr:col>
      <xdr:colOff>840431</xdr:colOff>
      <xdr:row>97</xdr:row>
      <xdr:rowOff>20413</xdr:rowOff>
    </xdr:to>
    <xdr:grpSp>
      <xdr:nvGrpSpPr>
        <xdr:cNvPr id="34" name="Group 1">
          <a:extLst>
            <a:ext uri="{FF2B5EF4-FFF2-40B4-BE49-F238E27FC236}">
              <a16:creationId xmlns:a16="http://schemas.microsoft.com/office/drawing/2014/main" id="{A71A4233-9DC1-4B9C-9A3C-44E9918709DA}"/>
            </a:ext>
          </a:extLst>
        </xdr:cNvPr>
        <xdr:cNvGrpSpPr/>
      </xdr:nvGrpSpPr>
      <xdr:grpSpPr>
        <a:xfrm>
          <a:off x="2" y="15095764"/>
          <a:ext cx="6107754" cy="3603174"/>
          <a:chOff x="12729884" y="20705669"/>
          <a:chExt cx="6029819" cy="3603174"/>
        </a:xfrm>
      </xdr:grpSpPr>
      <xdr:grpSp>
        <xdr:nvGrpSpPr>
          <xdr:cNvPr id="35" name="Group 2">
            <a:extLst>
              <a:ext uri="{FF2B5EF4-FFF2-40B4-BE49-F238E27FC236}">
                <a16:creationId xmlns:a16="http://schemas.microsoft.com/office/drawing/2014/main" id="{F848D844-CE2D-61F9-2696-4830F129254E}"/>
              </a:ext>
            </a:extLst>
          </xdr:cNvPr>
          <xdr:cNvGrpSpPr/>
        </xdr:nvGrpSpPr>
        <xdr:grpSpPr>
          <a:xfrm>
            <a:off x="12729884" y="20705669"/>
            <a:ext cx="6029819" cy="3603174"/>
            <a:chOff x="21884735" y="6572455"/>
            <a:chExt cx="5946074" cy="2820223"/>
          </a:xfrm>
        </xdr:grpSpPr>
        <xdr:grpSp>
          <xdr:nvGrpSpPr>
            <xdr:cNvPr id="36" name="Group 7">
              <a:extLst>
                <a:ext uri="{FF2B5EF4-FFF2-40B4-BE49-F238E27FC236}">
                  <a16:creationId xmlns:a16="http://schemas.microsoft.com/office/drawing/2014/main" id="{442C4D57-ED54-446D-B468-8DEE6A064C52}"/>
                </a:ext>
              </a:extLst>
            </xdr:cNvPr>
            <xdr:cNvGrpSpPr/>
          </xdr:nvGrpSpPr>
          <xdr:grpSpPr>
            <a:xfrm>
              <a:off x="21884735" y="6572455"/>
              <a:ext cx="5946074" cy="2820223"/>
              <a:chOff x="15596506" y="6120973"/>
              <a:chExt cx="6100491" cy="2637837"/>
            </a:xfrm>
          </xdr:grpSpPr>
          <xdr:graphicFrame macro="">
            <xdr:nvGraphicFramePr>
              <xdr:cNvPr id="37" name="Chart 4">
                <a:extLst>
                  <a:ext uri="{FF2B5EF4-FFF2-40B4-BE49-F238E27FC236}">
                    <a16:creationId xmlns:a16="http://schemas.microsoft.com/office/drawing/2014/main" id="{3F5D90EA-A2B1-24D2-0219-C708294F2CF5}"/>
                  </a:ext>
                </a:extLst>
              </xdr:cNvPr>
              <xdr:cNvGraphicFramePr/>
            </xdr:nvGraphicFramePr>
            <xdr:xfrm>
              <a:off x="15596506" y="6120973"/>
              <a:ext cx="6100491" cy="26378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8" name="TextBox 6">
                <a:extLst>
                  <a:ext uri="{FF2B5EF4-FFF2-40B4-BE49-F238E27FC236}">
                    <a16:creationId xmlns:a16="http://schemas.microsoft.com/office/drawing/2014/main" id="{2549CA5A-6EA3-70CC-D689-61415DFBA746}"/>
                  </a:ext>
                </a:extLst>
              </xdr:cNvPr>
              <xdr:cNvSpPr txBox="1"/>
            </xdr:nvSpPr>
            <xdr:spPr>
              <a:xfrm>
                <a:off x="18325017" y="6459612"/>
                <a:ext cx="732925" cy="647853"/>
              </a:xfrm>
              <a:prstGeom prst="rect">
                <a:avLst/>
              </a:prstGeom>
              <a:solidFill>
                <a:schemeClr val="bg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NZ" sz="1000" b="0">
                    <a:solidFill>
                      <a:schemeClr val="accent1"/>
                    </a:solidFill>
                  </a:rPr>
                  <a:t>Total 2024 surplus estimate </a:t>
                </a:r>
              </a:p>
              <a:p>
                <a:pPr algn="ctr"/>
                <a:r>
                  <a:rPr lang="en-NZ" sz="1000" b="1">
                    <a:solidFill>
                      <a:schemeClr val="accent1"/>
                    </a:solidFill>
                  </a:rPr>
                  <a:t>= 67.9m</a:t>
                </a:r>
              </a:p>
            </xdr:txBody>
          </xdr:sp>
        </xdr:grpSp>
        <xdr:sp macro="" textlink="">
          <xdr:nvSpPr>
            <xdr:cNvPr id="39" name="Right Brace 6">
              <a:extLst>
                <a:ext uri="{FF2B5EF4-FFF2-40B4-BE49-F238E27FC236}">
                  <a16:creationId xmlns:a16="http://schemas.microsoft.com/office/drawing/2014/main" id="{DCC19614-54D0-528A-C373-4D15E62690E4}"/>
                </a:ext>
              </a:extLst>
            </xdr:cNvPr>
            <xdr:cNvSpPr/>
          </xdr:nvSpPr>
          <xdr:spPr>
            <a:xfrm>
              <a:off x="26691864" y="6889684"/>
              <a:ext cx="147151" cy="589531"/>
            </a:xfrm>
            <a:prstGeom prst="rightBrace">
              <a:avLst/>
            </a:prstGeom>
            <a:ln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NZ" sz="1100"/>
            </a:p>
          </xdr:txBody>
        </xdr:sp>
      </xdr:grpSp>
      <xdr:sp macro="" textlink="">
        <xdr:nvSpPr>
          <xdr:cNvPr id="40" name="Rectangle 3">
            <a:extLst>
              <a:ext uri="{FF2B5EF4-FFF2-40B4-BE49-F238E27FC236}">
                <a16:creationId xmlns:a16="http://schemas.microsoft.com/office/drawing/2014/main" id="{77633B44-5375-F3E0-EABC-88D9D91C8E06}"/>
              </a:ext>
            </a:extLst>
          </xdr:cNvPr>
          <xdr:cNvSpPr/>
        </xdr:nvSpPr>
        <xdr:spPr>
          <a:xfrm>
            <a:off x="14111688" y="21105719"/>
            <a:ext cx="987866" cy="990600"/>
          </a:xfrm>
          <a:prstGeom prst="rect">
            <a:avLst/>
          </a:prstGeom>
          <a:noFill/>
          <a:ln w="12700">
            <a:solidFill>
              <a:schemeClr val="accent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  <xdr:sp macro="" textlink="">
        <xdr:nvSpPr>
          <xdr:cNvPr id="41" name="Rectangle 4">
            <a:extLst>
              <a:ext uri="{FF2B5EF4-FFF2-40B4-BE49-F238E27FC236}">
                <a16:creationId xmlns:a16="http://schemas.microsoft.com/office/drawing/2014/main" id="{6BCDDEEE-FEEE-C064-D375-FABC5DA95CF3}"/>
              </a:ext>
            </a:extLst>
          </xdr:cNvPr>
          <xdr:cNvSpPr/>
        </xdr:nvSpPr>
        <xdr:spPr>
          <a:xfrm>
            <a:off x="16587120" y="21124473"/>
            <a:ext cx="979917" cy="724092"/>
          </a:xfrm>
          <a:prstGeom prst="rect">
            <a:avLst/>
          </a:prstGeom>
          <a:noFill/>
          <a:ln w="12700"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absolute">
    <xdr:from>
      <xdr:col>0</xdr:col>
      <xdr:colOff>0</xdr:colOff>
      <xdr:row>105</xdr:row>
      <xdr:rowOff>6536</xdr:rowOff>
    </xdr:from>
    <xdr:to>
      <xdr:col>4</xdr:col>
      <xdr:colOff>846739</xdr:colOff>
      <xdr:row>123</xdr:row>
      <xdr:rowOff>163928</xdr:rowOff>
    </xdr:to>
    <xdr:graphicFrame macro="">
      <xdr:nvGraphicFramePr>
        <xdr:cNvPr id="45" name="Chart 9">
          <a:extLst>
            <a:ext uri="{FF2B5EF4-FFF2-40B4-BE49-F238E27FC236}">
              <a16:creationId xmlns:a16="http://schemas.microsoft.com/office/drawing/2014/main" id="{AB594B8A-1903-C850-C2BC-0F6409D66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34</xdr:row>
      <xdr:rowOff>18010</xdr:rowOff>
    </xdr:from>
    <xdr:to>
      <xdr:col>4</xdr:col>
      <xdr:colOff>854250</xdr:colOff>
      <xdr:row>53</xdr:row>
      <xdr:rowOff>2592</xdr:rowOff>
    </xdr:to>
    <xdr:graphicFrame macro="">
      <xdr:nvGraphicFramePr>
        <xdr:cNvPr id="48" name="Chart 10">
          <a:extLst>
            <a:ext uri="{FF2B5EF4-FFF2-40B4-BE49-F238E27FC236}">
              <a16:creationId xmlns:a16="http://schemas.microsoft.com/office/drawing/2014/main" id="{2CFB0B65-B414-201E-0E37-A0011E964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30390</xdr:colOff>
      <xdr:row>143</xdr:row>
      <xdr:rowOff>152039</xdr:rowOff>
    </xdr:from>
    <xdr:to>
      <xdr:col>4</xdr:col>
      <xdr:colOff>893711</xdr:colOff>
      <xdr:row>162</xdr:row>
      <xdr:rowOff>132539</xdr:rowOff>
    </xdr:to>
    <xdr:graphicFrame macro="">
      <xdr:nvGraphicFramePr>
        <xdr:cNvPr id="86" name="Chart 11">
          <a:extLst>
            <a:ext uri="{FF2B5EF4-FFF2-40B4-BE49-F238E27FC236}">
              <a16:creationId xmlns:a16="http://schemas.microsoft.com/office/drawing/2014/main" id="{010E7BF2-8F6D-4DF7-9038-C2F0D3525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0.83497</cdr:x>
      <cdr:y>0.11071</cdr:y>
    </cdr:from>
    <cdr:to>
      <cdr:x>0.9844</cdr:x>
      <cdr:y>0.34754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8FC0FA35-BEC8-2E08-AAC5-CBAEBBBED44E}"/>
            </a:ext>
          </a:extLst>
        </cdr:cNvPr>
        <cdr:cNvSpPr txBox="1"/>
      </cdr:nvSpPr>
      <cdr:spPr>
        <a:xfrm xmlns:a="http://schemas.openxmlformats.org/drawingml/2006/main">
          <a:off x="5099818" y="398907"/>
          <a:ext cx="912682" cy="8533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000" b="0">
              <a:solidFill>
                <a:schemeClr val="accent1"/>
              </a:solidFill>
            </a:rPr>
            <a:t>Total 2025 surplus estimate </a:t>
          </a:r>
        </a:p>
        <a:p xmlns:a="http://schemas.openxmlformats.org/drawingml/2006/main">
          <a:pPr algn="ctr"/>
          <a:r>
            <a:rPr lang="en-NZ" sz="1000" b="0">
              <a:solidFill>
                <a:schemeClr val="accent1"/>
              </a:solidFill>
            </a:rPr>
            <a:t>= 40.2 + 10.0 = </a:t>
          </a:r>
          <a:r>
            <a:rPr lang="en-NZ" sz="1000" b="1">
              <a:solidFill>
                <a:schemeClr val="accent1"/>
              </a:solidFill>
            </a:rPr>
            <a:t>50.2m</a:t>
          </a:r>
        </a:p>
      </cdr:txBody>
    </cdr:sp>
  </cdr:relSizeAnchor>
  <cdr:relSizeAnchor xmlns:cdr="http://schemas.openxmlformats.org/drawingml/2006/chartDrawing">
    <cdr:from>
      <cdr:x>0.40011</cdr:x>
      <cdr:y>0.11992</cdr:y>
    </cdr:from>
    <cdr:to>
      <cdr:x>0.42722</cdr:x>
      <cdr:y>0.38599</cdr:y>
    </cdr:to>
    <cdr:sp macro="" textlink="">
      <cdr:nvSpPr>
        <cdr:cNvPr id="3" name="Left Brace 2">
          <a:extLst xmlns:a="http://schemas.openxmlformats.org/drawingml/2006/main">
            <a:ext uri="{FF2B5EF4-FFF2-40B4-BE49-F238E27FC236}">
              <a16:creationId xmlns:a16="http://schemas.microsoft.com/office/drawing/2014/main" id="{3CECEFC2-7BD9-46EB-CFE3-C94FFDCAEAE7}"/>
            </a:ext>
          </a:extLst>
        </cdr:cNvPr>
        <cdr:cNvSpPr/>
      </cdr:nvSpPr>
      <cdr:spPr>
        <a:xfrm xmlns:a="http://schemas.openxmlformats.org/drawingml/2006/main" rot="10800000">
          <a:off x="2443773" y="432093"/>
          <a:ext cx="165582" cy="958696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0.54163</cdr:x>
      <cdr:y>0.04082</cdr:y>
    </cdr:from>
    <cdr:to>
      <cdr:x>0.54163</cdr:x>
      <cdr:y>0.84251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A5524C2-BD85-4BF4-E348-BA88116EA13F}"/>
            </a:ext>
          </a:extLst>
        </cdr:cNvPr>
        <cdr:cNvCxnSpPr/>
      </cdr:nvCxnSpPr>
      <cdr:spPr>
        <a:xfrm xmlns:a="http://schemas.openxmlformats.org/drawingml/2006/main" flipV="1">
          <a:off x="3106510" y="146958"/>
          <a:ext cx="0" cy="28860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0.63463</cdr:x>
      <cdr:y>0.19163</cdr:y>
    </cdr:from>
    <cdr:to>
      <cdr:x>0.97175</cdr:x>
      <cdr:y>0.28424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F9B1D26-770B-1C8D-2874-E65D23CF31EC}"/>
            </a:ext>
          </a:extLst>
        </cdr:cNvPr>
        <cdr:cNvSpPr txBox="1"/>
      </cdr:nvSpPr>
      <cdr:spPr>
        <a:xfrm xmlns:a="http://schemas.openxmlformats.org/drawingml/2006/main">
          <a:off x="3639909" y="689883"/>
          <a:ext cx="1933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 b="1">
              <a:solidFill>
                <a:schemeClr val="accent1"/>
              </a:solidFill>
            </a:rPr>
            <a:t>Updated auction volumes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0.08599</cdr:x>
      <cdr:y>0.85713</cdr:y>
    </cdr:from>
    <cdr:to>
      <cdr:x>0.23316</cdr:x>
      <cdr:y>0.97354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58D3B9D-EA7A-4C69-E747-4E8B45614567}"/>
            </a:ext>
          </a:extLst>
        </cdr:cNvPr>
        <cdr:cNvSpPr txBox="1"/>
      </cdr:nvSpPr>
      <cdr:spPr>
        <a:xfrm xmlns:a="http://schemas.openxmlformats.org/drawingml/2006/main">
          <a:off x="495300" y="3085651"/>
          <a:ext cx="847725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NZ" sz="1000">
              <a:solidFill>
                <a:schemeClr val="accent1"/>
              </a:solidFill>
            </a:rPr>
            <a:t>Cannot be changed</a:t>
          </a:r>
        </a:p>
      </cdr:txBody>
    </cdr:sp>
  </cdr:relSizeAnchor>
  <cdr:relSizeAnchor xmlns:cdr="http://schemas.openxmlformats.org/drawingml/2006/chartDrawing">
    <cdr:from>
      <cdr:x>0.23151</cdr:x>
      <cdr:y>0.86122</cdr:y>
    </cdr:from>
    <cdr:to>
      <cdr:x>0.52586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5EE7586-2C4D-7D92-2BA1-B46140B12EF5}"/>
            </a:ext>
          </a:extLst>
        </cdr:cNvPr>
        <cdr:cNvSpPr txBox="1"/>
      </cdr:nvSpPr>
      <cdr:spPr>
        <a:xfrm xmlns:a="http://schemas.openxmlformats.org/drawingml/2006/main">
          <a:off x="1333500" y="3100388"/>
          <a:ext cx="1695450" cy="49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000">
              <a:solidFill>
                <a:schemeClr val="accent1"/>
              </a:solidFill>
            </a:rPr>
            <a:t>Fixed, but can be changed under special circumstances</a:t>
          </a:r>
        </a:p>
      </cdr:txBody>
    </cdr:sp>
  </cdr:relSizeAnchor>
  <cdr:relSizeAnchor xmlns:cdr="http://schemas.openxmlformats.org/drawingml/2006/chartDrawing">
    <cdr:from>
      <cdr:x>0.5209</cdr:x>
      <cdr:y>0.85549</cdr:y>
    </cdr:from>
    <cdr:to>
      <cdr:x>0.8384</cdr:x>
      <cdr:y>0.99427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FA14813-2BFE-5330-3608-77A3EC6C785C}"/>
            </a:ext>
          </a:extLst>
        </cdr:cNvPr>
        <cdr:cNvSpPr txBox="1"/>
      </cdr:nvSpPr>
      <cdr:spPr>
        <a:xfrm xmlns:a="http://schemas.openxmlformats.org/drawingml/2006/main">
          <a:off x="3000376" y="3079750"/>
          <a:ext cx="1828800" cy="49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000">
              <a:solidFill>
                <a:schemeClr val="accent1"/>
              </a:solidFill>
            </a:rPr>
            <a:t>Announced, but</a:t>
          </a:r>
          <a:r>
            <a:rPr lang="en-NZ" sz="1000" baseline="0">
              <a:solidFill>
                <a:schemeClr val="accent1"/>
              </a:solidFill>
            </a:rPr>
            <a:t> must be reviewed and can be adjusted</a:t>
          </a:r>
          <a:endParaRPr lang="en-NZ" sz="10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0.82352</cdr:x>
      <cdr:y>0.84755</cdr:y>
    </cdr:from>
    <cdr:to>
      <cdr:x>0.99008</cdr:x>
      <cdr:y>0.98633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09FBCA3-8CA1-4B32-6345-D8F6DD45D9E8}"/>
            </a:ext>
          </a:extLst>
        </cdr:cNvPr>
        <cdr:cNvSpPr txBox="1"/>
      </cdr:nvSpPr>
      <cdr:spPr>
        <a:xfrm xmlns:a="http://schemas.openxmlformats.org/drawingml/2006/main">
          <a:off x="4743450" y="3051175"/>
          <a:ext cx="959400" cy="49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NZ" sz="1000">
              <a:solidFill>
                <a:schemeClr val="accent1"/>
              </a:solidFill>
            </a:rPr>
            <a:t>New settings announced</a:t>
          </a:r>
        </a:p>
      </cdr:txBody>
    </cdr:sp>
  </cdr:relSizeAnchor>
  <cdr:relSizeAnchor xmlns:cdr="http://schemas.openxmlformats.org/drawingml/2006/chartDrawing">
    <cdr:from>
      <cdr:x>0.22901</cdr:x>
      <cdr:y>0.80301</cdr:y>
    </cdr:from>
    <cdr:to>
      <cdr:x>0.50916</cdr:x>
      <cdr:y>0.84194</cdr:y>
    </cdr:to>
    <cdr:sp macro="" textlink="">
      <cdr:nvSpPr>
        <cdr:cNvPr id="6" name="Left Brace 5">
          <a:extLst xmlns:a="http://schemas.openxmlformats.org/drawingml/2006/main">
            <a:ext uri="{FF2B5EF4-FFF2-40B4-BE49-F238E27FC236}">
              <a16:creationId xmlns:a16="http://schemas.microsoft.com/office/drawing/2014/main" id="{6B67BC84-1128-72AE-989A-B7C28452FA93}"/>
            </a:ext>
          </a:extLst>
        </cdr:cNvPr>
        <cdr:cNvSpPr/>
      </cdr:nvSpPr>
      <cdr:spPr>
        <a:xfrm xmlns:a="http://schemas.openxmlformats.org/drawingml/2006/main" rot="16200000">
          <a:off x="2188707" y="2103664"/>
          <a:ext cx="140156" cy="1714500"/>
        </a:xfrm>
        <a:prstGeom xmlns:a="http://schemas.openxmlformats.org/drawingml/2006/main" prst="leftBrac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0.53717</cdr:x>
      <cdr:y>0.80522</cdr:y>
    </cdr:from>
    <cdr:to>
      <cdr:x>0.81265</cdr:x>
      <cdr:y>0.85253</cdr:y>
    </cdr:to>
    <cdr:sp macro="" textlink="">
      <cdr:nvSpPr>
        <cdr:cNvPr id="7" name="Left Brace 6">
          <a:extLst xmlns:a="http://schemas.openxmlformats.org/drawingml/2006/main">
            <a:ext uri="{FF2B5EF4-FFF2-40B4-BE49-F238E27FC236}">
              <a16:creationId xmlns:a16="http://schemas.microsoft.com/office/drawing/2014/main" id="{FCE1DCB7-ECF8-EAA6-C52E-A83603B1E8BD}"/>
            </a:ext>
          </a:extLst>
        </cdr:cNvPr>
        <cdr:cNvSpPr/>
      </cdr:nvSpPr>
      <cdr:spPr>
        <a:xfrm xmlns:a="http://schemas.openxmlformats.org/drawingml/2006/main" rot="16200000">
          <a:off x="4045298" y="2140980"/>
          <a:ext cx="170301" cy="1685922"/>
        </a:xfrm>
        <a:prstGeom xmlns:a="http://schemas.openxmlformats.org/drawingml/2006/main" prst="leftBrac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122</xdr:row>
      <xdr:rowOff>30640</xdr:rowOff>
    </xdr:from>
    <xdr:to>
      <xdr:col>3</xdr:col>
      <xdr:colOff>1144775</xdr:colOff>
      <xdr:row>142</xdr:row>
      <xdr:rowOff>155509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81F4A9DF-4EC6-52FA-2828-D09E9D735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83297</xdr:colOff>
      <xdr:row>54</xdr:row>
      <xdr:rowOff>1067</xdr:rowOff>
    </xdr:from>
    <xdr:to>
      <xdr:col>3</xdr:col>
      <xdr:colOff>1237597</xdr:colOff>
      <xdr:row>74</xdr:row>
      <xdr:rowOff>113474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A22216-C21A-F97C-1DD3-F7ADBB492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285</xdr:row>
      <xdr:rowOff>37409</xdr:rowOff>
    </xdr:from>
    <xdr:to>
      <xdr:col>3</xdr:col>
      <xdr:colOff>1257377</xdr:colOff>
      <xdr:row>306</xdr:row>
      <xdr:rowOff>88729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D1722CDF-1159-A87B-EEAC-9C0148C4B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188</xdr:row>
      <xdr:rowOff>19695</xdr:rowOff>
    </xdr:from>
    <xdr:to>
      <xdr:col>4</xdr:col>
      <xdr:colOff>383</xdr:colOff>
      <xdr:row>207</xdr:row>
      <xdr:rowOff>6547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0845B5-64D5-4FD3-8412-CAA5BFFC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</xdr:row>
      <xdr:rowOff>48559</xdr:rowOff>
    </xdr:from>
    <xdr:to>
      <xdr:col>3</xdr:col>
      <xdr:colOff>902779</xdr:colOff>
      <xdr:row>32</xdr:row>
      <xdr:rowOff>43843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54B3073-BB05-4D97-9133-96601912A0AC}"/>
            </a:ext>
          </a:extLst>
        </xdr:cNvPr>
        <xdr:cNvGrpSpPr/>
      </xdr:nvGrpSpPr>
      <xdr:grpSpPr>
        <a:xfrm>
          <a:off x="0" y="2334559"/>
          <a:ext cx="5655754" cy="3805284"/>
          <a:chOff x="2653925" y="1334269"/>
          <a:chExt cx="5802582" cy="3591125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6DC02602-6EAB-3056-A772-F0658B0AA1CC}"/>
              </a:ext>
            </a:extLst>
          </xdr:cNvPr>
          <xdr:cNvGraphicFramePr>
            <a:graphicFrameLocks/>
          </xdr:cNvGraphicFramePr>
        </xdr:nvGraphicFramePr>
        <xdr:xfrm>
          <a:off x="2653925" y="1334269"/>
          <a:ext cx="5802582" cy="3591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F7250FC-9897-D207-7A08-BA55399A83A5}"/>
              </a:ext>
            </a:extLst>
          </xdr:cNvPr>
          <xdr:cNvSpPr txBox="1"/>
        </xdr:nvSpPr>
        <xdr:spPr>
          <a:xfrm>
            <a:off x="5346800" y="3062048"/>
            <a:ext cx="1548848" cy="2401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NZ" sz="1000">
                <a:solidFill>
                  <a:schemeClr val="tx1">
                    <a:lumMod val="50000"/>
                    <a:lumOff val="50000"/>
                  </a:schemeClr>
                </a:solidFill>
              </a:rPr>
              <a:t>Second emissions budget</a:t>
            </a:r>
          </a:p>
        </xdr:txBody>
      </xdr:sp>
    </xdr:grpSp>
    <xdr:clientData/>
  </xdr:twoCellAnchor>
  <xdr:twoCellAnchor editAs="absolute">
    <xdr:from>
      <xdr:col>0</xdr:col>
      <xdr:colOff>0</xdr:colOff>
      <xdr:row>79</xdr:row>
      <xdr:rowOff>164633</xdr:rowOff>
    </xdr:from>
    <xdr:to>
      <xdr:col>4</xdr:col>
      <xdr:colOff>468</xdr:colOff>
      <xdr:row>97</xdr:row>
      <xdr:rowOff>124402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CA8291E-2F01-4A65-82B8-4FE9879B6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68410</xdr:colOff>
      <xdr:row>79</xdr:row>
      <xdr:rowOff>50146</xdr:rowOff>
    </xdr:from>
    <xdr:to>
      <xdr:col>8</xdr:col>
      <xdr:colOff>473943</xdr:colOff>
      <xdr:row>97</xdr:row>
      <xdr:rowOff>36090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16CA12-63AB-4D50-A126-E5680F5DF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11052</xdr:colOff>
      <xdr:row>79</xdr:row>
      <xdr:rowOff>57284</xdr:rowOff>
    </xdr:from>
    <xdr:to>
      <xdr:col>18</xdr:col>
      <xdr:colOff>189447</xdr:colOff>
      <xdr:row>97</xdr:row>
      <xdr:rowOff>59102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2D99F81-F526-41E0-9163-AE1EED4A3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0</xdr:colOff>
      <xdr:row>159</xdr:row>
      <xdr:rowOff>66097</xdr:rowOff>
    </xdr:from>
    <xdr:to>
      <xdr:col>3</xdr:col>
      <xdr:colOff>1149682</xdr:colOff>
      <xdr:row>180</xdr:row>
      <xdr:rowOff>19754</xdr:rowOff>
    </xdr:to>
    <xdr:graphicFrame macro="">
      <xdr:nvGraphicFramePr>
        <xdr:cNvPr id="14" name="Chart 7">
          <a:extLst>
            <a:ext uri="{FF2B5EF4-FFF2-40B4-BE49-F238E27FC236}">
              <a16:creationId xmlns:a16="http://schemas.microsoft.com/office/drawing/2014/main" id="{B8785FE8-CB98-4778-ABEC-BF6C591CC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0</xdr:colOff>
      <xdr:row>235</xdr:row>
      <xdr:rowOff>160337</xdr:rowOff>
    </xdr:from>
    <xdr:to>
      <xdr:col>4</xdr:col>
      <xdr:colOff>2682</xdr:colOff>
      <xdr:row>253</xdr:row>
      <xdr:rowOff>79151</xdr:rowOff>
    </xdr:to>
    <xdr:graphicFrame macro="">
      <xdr:nvGraphicFramePr>
        <xdr:cNvPr id="15" name="Chart 30">
          <a:extLst>
            <a:ext uri="{FF2B5EF4-FFF2-40B4-BE49-F238E27FC236}">
              <a16:creationId xmlns:a16="http://schemas.microsoft.com/office/drawing/2014/main" id="{E4D68600-40AA-4996-8701-F4F89FD7E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0</xdr:colOff>
      <xdr:row>310</xdr:row>
      <xdr:rowOff>63954</xdr:rowOff>
    </xdr:from>
    <xdr:to>
      <xdr:col>3</xdr:col>
      <xdr:colOff>1428257</xdr:colOff>
      <xdr:row>330</xdr:row>
      <xdr:rowOff>2272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30C9E228-14C8-4688-BA76-808A22927FDB}"/>
            </a:ext>
          </a:extLst>
        </xdr:cNvPr>
        <xdr:cNvGrpSpPr/>
      </xdr:nvGrpSpPr>
      <xdr:grpSpPr>
        <a:xfrm>
          <a:off x="0" y="59595204"/>
          <a:ext cx="6181232" cy="3748318"/>
          <a:chOff x="9330273" y="3258242"/>
          <a:chExt cx="6094944" cy="3600000"/>
        </a:xfrm>
      </xdr:grpSpPr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4F89A90B-766E-579F-8132-FD50C7DEB420}"/>
              </a:ext>
            </a:extLst>
          </xdr:cNvPr>
          <xdr:cNvGraphicFramePr/>
        </xdr:nvGraphicFramePr>
        <xdr:xfrm>
          <a:off x="9330273" y="3258242"/>
          <a:ext cx="6094944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7AD62780-2570-FAAE-9550-15F01752EF03}"/>
              </a:ext>
            </a:extLst>
          </xdr:cNvPr>
          <xdr:cNvCxnSpPr/>
        </xdr:nvCxnSpPr>
        <xdr:spPr>
          <a:xfrm>
            <a:off x="11203213" y="3863708"/>
            <a:ext cx="2037789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0.33374</cdr:x>
      <cdr:y>0.32734</cdr:y>
    </cdr:from>
    <cdr:to>
      <cdr:x>0.4534</cdr:x>
      <cdr:y>0.32798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C2CA7D9-9EE1-6CA8-A556-D222D12B2C9F}"/>
            </a:ext>
          </a:extLst>
        </cdr:cNvPr>
        <cdr:cNvCxnSpPr/>
      </cdr:nvCxnSpPr>
      <cdr:spPr>
        <a:xfrm xmlns:a="http://schemas.openxmlformats.org/drawingml/2006/main" flipH="1" flipV="1">
          <a:off x="1975423" y="1315902"/>
          <a:ext cx="708280" cy="253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0.62058</cdr:x>
      <cdr:y>0.39855</cdr:y>
    </cdr:from>
    <cdr:to>
      <cdr:x>0.74349</cdr:x>
      <cdr:y>0.3989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B6068CC3-FBAB-8C8F-3F21-513DD8F89BA2}"/>
            </a:ext>
          </a:extLst>
        </cdr:cNvPr>
        <cdr:cNvCxnSpPr/>
      </cdr:nvCxnSpPr>
      <cdr:spPr>
        <a:xfrm xmlns:a="http://schemas.openxmlformats.org/drawingml/2006/main" flipH="1" flipV="1">
          <a:off x="3673246" y="1602125"/>
          <a:ext cx="727514" cy="14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0.19958</cdr:x>
      <cdr:y>0.0277</cdr:y>
    </cdr:from>
    <cdr:to>
      <cdr:x>0.28015</cdr:x>
      <cdr:y>0.07128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25D868D-9926-59EF-CDD9-F875E72D4A55}"/>
            </a:ext>
          </a:extLst>
        </cdr:cNvPr>
        <cdr:cNvSpPr txBox="1"/>
      </cdr:nvSpPr>
      <cdr:spPr>
        <a:xfrm xmlns:a="http://schemas.openxmlformats.org/drawingml/2006/main">
          <a:off x="1221442" y="99734"/>
          <a:ext cx="493058" cy="156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0.21309</cdr:x>
      <cdr:y>0.02356</cdr:y>
    </cdr:from>
    <cdr:to>
      <cdr:x>0.32844</cdr:x>
      <cdr:y>0.11383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10B8052-323B-8627-85C8-C7E368661EA7}"/>
            </a:ext>
          </a:extLst>
        </cdr:cNvPr>
        <cdr:cNvSpPr txBox="1"/>
      </cdr:nvSpPr>
      <cdr:spPr>
        <a:xfrm xmlns:a="http://schemas.openxmlformats.org/drawingml/2006/main">
          <a:off x="1261313" y="94726"/>
          <a:ext cx="682761" cy="362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900">
              <a:solidFill>
                <a:schemeClr val="accent1"/>
              </a:solidFill>
            </a:rPr>
            <a:t>37.0</a:t>
          </a:r>
        </a:p>
      </cdr:txBody>
    </cdr:sp>
  </cdr:relSizeAnchor>
  <cdr:relSizeAnchor xmlns:cdr="http://schemas.openxmlformats.org/drawingml/2006/chartDrawing">
    <cdr:from>
      <cdr:x>0.50393</cdr:x>
      <cdr:y>0.22995</cdr:y>
    </cdr:from>
    <cdr:to>
      <cdr:x>0.57417</cdr:x>
      <cdr:y>0.28985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B8356D7-059D-C487-0A01-EBBF5EA5562B}"/>
            </a:ext>
          </a:extLst>
        </cdr:cNvPr>
        <cdr:cNvSpPr txBox="1"/>
      </cdr:nvSpPr>
      <cdr:spPr>
        <a:xfrm xmlns:a="http://schemas.openxmlformats.org/drawingml/2006/main">
          <a:off x="2982790" y="924384"/>
          <a:ext cx="415753" cy="24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>
              <a:solidFill>
                <a:schemeClr val="accent1"/>
              </a:solidFill>
            </a:rPr>
            <a:t>21.8</a:t>
          </a:r>
        </a:p>
      </cdr:txBody>
    </cdr:sp>
  </cdr:relSizeAnchor>
  <cdr:relSizeAnchor xmlns:cdr="http://schemas.openxmlformats.org/drawingml/2006/chartDrawing">
    <cdr:from>
      <cdr:x>0.79464</cdr:x>
      <cdr:y>0.31281</cdr:y>
    </cdr:from>
    <cdr:to>
      <cdr:x>0.90999</cdr:x>
      <cdr:y>0.36998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5505BE2-D9EB-3EF3-21DD-1FF661040755}"/>
            </a:ext>
          </a:extLst>
        </cdr:cNvPr>
        <cdr:cNvSpPr txBox="1"/>
      </cdr:nvSpPr>
      <cdr:spPr>
        <a:xfrm xmlns:a="http://schemas.openxmlformats.org/drawingml/2006/main">
          <a:off x="4703502" y="1257468"/>
          <a:ext cx="682762" cy="229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>
              <a:solidFill>
                <a:schemeClr val="accent1"/>
              </a:solidFill>
            </a:rPr>
            <a:t>17.4</a:t>
          </a:r>
        </a:p>
      </cdr:txBody>
    </cdr:sp>
  </cdr:relSizeAnchor>
  <cdr:relSizeAnchor xmlns:cdr="http://schemas.openxmlformats.org/drawingml/2006/chartDrawing">
    <cdr:from>
      <cdr:x>0.16189</cdr:x>
      <cdr:y>0.3273</cdr:y>
    </cdr:from>
    <cdr:to>
      <cdr:x>0.33243</cdr:x>
      <cdr:y>0.66623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id="{C3826136-4CE5-1E6B-355A-DBFD6461ACBA}"/>
            </a:ext>
          </a:extLst>
        </cdr:cNvPr>
        <cdr:cNvSpPr/>
      </cdr:nvSpPr>
      <cdr:spPr>
        <a:xfrm xmlns:a="http://schemas.openxmlformats.org/drawingml/2006/main">
          <a:off x="958221" y="1315713"/>
          <a:ext cx="1009464" cy="1362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accent6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0.45392</cdr:x>
      <cdr:y>0.39828</cdr:y>
    </cdr:from>
    <cdr:to>
      <cdr:x>0.62393</cdr:x>
      <cdr:y>0.67043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id="{6E4E71CC-6CC1-32C5-379D-5FCF0D6C9C58}"/>
            </a:ext>
          </a:extLst>
        </cdr:cNvPr>
        <cdr:cNvSpPr/>
      </cdr:nvSpPr>
      <cdr:spPr>
        <a:xfrm xmlns:a="http://schemas.openxmlformats.org/drawingml/2006/main">
          <a:off x="2682432" y="1601054"/>
          <a:ext cx="1004679" cy="1094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accent1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0.74782</cdr:x>
      <cdr:y>0.51295</cdr:y>
    </cdr:from>
    <cdr:to>
      <cdr:x>0.91619</cdr:x>
      <cdr:y>0.66808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id="{E38B43E9-0FF7-3A5E-94D7-F87648A826FB}"/>
            </a:ext>
          </a:extLst>
        </cdr:cNvPr>
        <cdr:cNvSpPr/>
      </cdr:nvSpPr>
      <cdr:spPr>
        <a:xfrm xmlns:a="http://schemas.openxmlformats.org/drawingml/2006/main">
          <a:off x="4426383" y="2062002"/>
          <a:ext cx="996578" cy="623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accent1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0.11536</cdr:x>
      <cdr:y>0.78996</cdr:y>
    </cdr:from>
    <cdr:to>
      <cdr:x>0.31311</cdr:x>
      <cdr:y>0.96146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53EB59-4C87-1815-DA4F-F1F234AD49AB}"/>
            </a:ext>
          </a:extLst>
        </cdr:cNvPr>
        <cdr:cNvSpPr txBox="1"/>
      </cdr:nvSpPr>
      <cdr:spPr>
        <a:xfrm xmlns:a="http://schemas.openxmlformats.org/drawingml/2006/main">
          <a:off x="705973" y="2838826"/>
          <a:ext cx="1210235" cy="616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0.15258</cdr:x>
      <cdr:y>0.76484</cdr:y>
    </cdr:from>
    <cdr:to>
      <cdr:x>0.38369</cdr:x>
      <cdr:y>0.97418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3F779F34-B807-F355-80B3-8E8A513BE029}"/>
            </a:ext>
          </a:extLst>
        </cdr:cNvPr>
        <cdr:cNvSpPr txBox="1"/>
      </cdr:nvSpPr>
      <cdr:spPr>
        <a:xfrm xmlns:a="http://schemas.openxmlformats.org/drawingml/2006/main">
          <a:off x="903115" y="3074604"/>
          <a:ext cx="1367950" cy="84153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900">
              <a:solidFill>
                <a:schemeClr val="accent1"/>
              </a:solidFill>
            </a:rPr>
            <a:t>Total held for harvest allocations</a:t>
          </a:r>
        </a:p>
        <a:p xmlns:a="http://schemas.openxmlformats.org/drawingml/2006/main">
          <a:endParaRPr lang="en-NZ" sz="900">
            <a:solidFill>
              <a:schemeClr val="accent1"/>
            </a:solidFill>
          </a:endParaRPr>
        </a:p>
        <a:p xmlns:a="http://schemas.openxmlformats.org/drawingml/2006/main">
          <a:r>
            <a:rPr lang="en-NZ" sz="900">
              <a:solidFill>
                <a:schemeClr val="accent1"/>
              </a:solidFill>
            </a:rPr>
            <a:t>Total low-risk allocations</a:t>
          </a:r>
        </a:p>
      </cdr:txBody>
    </cdr:sp>
  </cdr:relSizeAnchor>
  <cdr:relSizeAnchor xmlns:cdr="http://schemas.openxmlformats.org/drawingml/2006/chartDrawing">
    <cdr:from>
      <cdr:x>0.44629</cdr:x>
      <cdr:y>0.76837</cdr:y>
    </cdr:from>
    <cdr:to>
      <cdr:x>0.66058</cdr:x>
      <cdr:y>0.9902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F1274A98-46AE-9414-C69C-DD6470182D2F}"/>
            </a:ext>
          </a:extLst>
        </cdr:cNvPr>
        <cdr:cNvSpPr txBox="1"/>
      </cdr:nvSpPr>
      <cdr:spPr>
        <a:xfrm xmlns:a="http://schemas.openxmlformats.org/drawingml/2006/main">
          <a:off x="2641604" y="3088773"/>
          <a:ext cx="1268391" cy="89174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>
              <a:solidFill>
                <a:schemeClr val="accent1"/>
              </a:solidFill>
            </a:rPr>
            <a:t>Low-risk units already allocated</a:t>
          </a:r>
        </a:p>
        <a:p xmlns:a="http://schemas.openxmlformats.org/drawingml/2006/main">
          <a:endParaRPr lang="en-NZ" sz="900">
            <a:solidFill>
              <a:schemeClr val="accent1"/>
            </a:solidFill>
          </a:endParaRPr>
        </a:p>
        <a:p xmlns:a="http://schemas.openxmlformats.org/drawingml/2006/main">
          <a:r>
            <a:rPr lang="en-NZ" sz="900">
              <a:solidFill>
                <a:schemeClr val="accent1"/>
              </a:solidFill>
            </a:rPr>
            <a:t>Low-risk units still to be allocated</a:t>
          </a:r>
        </a:p>
      </cdr:txBody>
    </cdr:sp>
  </cdr:relSizeAnchor>
  <cdr:relSizeAnchor xmlns:cdr="http://schemas.openxmlformats.org/drawingml/2006/chartDrawing">
    <cdr:from>
      <cdr:x>0.73804</cdr:x>
      <cdr:y>0.76847</cdr:y>
    </cdr:from>
    <cdr:to>
      <cdr:x>1</cdr:x>
      <cdr:y>0.98366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3B4F2DB3-F71B-741B-627A-0564B429DF47}"/>
            </a:ext>
          </a:extLst>
        </cdr:cNvPr>
        <cdr:cNvSpPr txBox="1"/>
      </cdr:nvSpPr>
      <cdr:spPr>
        <a:xfrm xmlns:a="http://schemas.openxmlformats.org/drawingml/2006/main">
          <a:off x="4527693" y="2842763"/>
          <a:ext cx="1607061" cy="7960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>
              <a:solidFill>
                <a:schemeClr val="accent1"/>
              </a:solidFill>
            </a:rPr>
            <a:t>2025 demand met from forestry units</a:t>
          </a:r>
        </a:p>
        <a:p xmlns:a="http://schemas.openxmlformats.org/drawingml/2006/main">
          <a:endParaRPr lang="en-NZ" sz="900">
            <a:solidFill>
              <a:schemeClr val="accent1"/>
            </a:solidFill>
          </a:endParaRPr>
        </a:p>
        <a:p xmlns:a="http://schemas.openxmlformats.org/drawingml/2006/main">
          <a:r>
            <a:rPr lang="en-NZ" sz="900">
              <a:solidFill>
                <a:schemeClr val="accent1"/>
              </a:solidFill>
            </a:rPr>
            <a:t>Remaining low-risk units adding to the surplus</a:t>
          </a:r>
        </a:p>
      </cdr:txBody>
    </cdr:sp>
  </cdr:relSizeAnchor>
  <cdr:relSizeAnchor xmlns:cdr="http://schemas.openxmlformats.org/drawingml/2006/chartDrawing">
    <cdr:from>
      <cdr:x>0.11731</cdr:x>
      <cdr:y>0.78287</cdr:y>
    </cdr:from>
    <cdr:to>
      <cdr:x>0.13195</cdr:x>
      <cdr:y>0.80784</cdr:y>
    </cdr:to>
    <cdr:sp macro="" textlink="">
      <cdr:nvSpPr>
        <cdr:cNvPr id="18" name="Rectangle 17">
          <a:extLst xmlns:a="http://schemas.openxmlformats.org/drawingml/2006/main">
            <a:ext uri="{FF2B5EF4-FFF2-40B4-BE49-F238E27FC236}">
              <a16:creationId xmlns:a16="http://schemas.microsoft.com/office/drawing/2014/main" id="{E05C1268-90E0-248E-BFD2-EC59326B424D}"/>
            </a:ext>
          </a:extLst>
        </cdr:cNvPr>
        <cdr:cNvSpPr/>
      </cdr:nvSpPr>
      <cdr:spPr>
        <a:xfrm xmlns:a="http://schemas.openxmlformats.org/drawingml/2006/main">
          <a:off x="694380" y="3147079"/>
          <a:ext cx="86655" cy="100377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accent3"/>
          </a:fgClr>
          <a:bgClr>
            <a:schemeClr val="accent3">
              <a:lumMod val="60000"/>
              <a:lumOff val="40000"/>
            </a:schemeClr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0.11777</cdr:x>
      <cdr:y>0.88644</cdr:y>
    </cdr:from>
    <cdr:to>
      <cdr:x>0.13241</cdr:x>
      <cdr:y>0.91141</cdr:y>
    </cdr:to>
    <cdr:sp macro="" textlink="">
      <cdr:nvSpPr>
        <cdr:cNvPr id="20" name="Rectangle 19">
          <a:extLst xmlns:a="http://schemas.openxmlformats.org/drawingml/2006/main">
            <a:ext uri="{FF2B5EF4-FFF2-40B4-BE49-F238E27FC236}">
              <a16:creationId xmlns:a16="http://schemas.microsoft.com/office/drawing/2014/main" id="{1560F725-94B5-BE59-A94E-562B7239AB9E}"/>
            </a:ext>
          </a:extLst>
        </cdr:cNvPr>
        <cdr:cNvSpPr/>
      </cdr:nvSpPr>
      <cdr:spPr>
        <a:xfrm xmlns:a="http://schemas.openxmlformats.org/drawingml/2006/main">
          <a:off x="697103" y="3563423"/>
          <a:ext cx="86655" cy="1003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0.42181</cdr:x>
      <cdr:y>0.78713</cdr:y>
    </cdr:from>
    <cdr:to>
      <cdr:x>0.43645</cdr:x>
      <cdr:y>0.8121</cdr:y>
    </cdr:to>
    <cdr:sp macro="" textlink="">
      <cdr:nvSpPr>
        <cdr:cNvPr id="21" name="Rectangle 20">
          <a:extLst xmlns:a="http://schemas.openxmlformats.org/drawingml/2006/main">
            <a:ext uri="{FF2B5EF4-FFF2-40B4-BE49-F238E27FC236}">
              <a16:creationId xmlns:a16="http://schemas.microsoft.com/office/drawing/2014/main" id="{56F5577B-7DEB-C04A-8D31-5F23DD32DCDD}"/>
            </a:ext>
          </a:extLst>
        </cdr:cNvPr>
        <cdr:cNvSpPr/>
      </cdr:nvSpPr>
      <cdr:spPr>
        <a:xfrm xmlns:a="http://schemas.openxmlformats.org/drawingml/2006/main">
          <a:off x="2496724" y="3164215"/>
          <a:ext cx="86655" cy="100378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accent4"/>
          </a:fgClr>
          <a:bgClr>
            <a:schemeClr val="accent4">
              <a:lumMod val="75000"/>
            </a:schemeClr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0.42404</cdr:x>
      <cdr:y>0.89772</cdr:y>
    </cdr:from>
    <cdr:to>
      <cdr:x>0.43868</cdr:x>
      <cdr:y>0.92269</cdr:y>
    </cdr:to>
    <cdr:sp macro="" textlink="">
      <cdr:nvSpPr>
        <cdr:cNvPr id="22" name="Rectangle 21">
          <a:extLst xmlns:a="http://schemas.openxmlformats.org/drawingml/2006/main">
            <a:ext uri="{FF2B5EF4-FFF2-40B4-BE49-F238E27FC236}">
              <a16:creationId xmlns:a16="http://schemas.microsoft.com/office/drawing/2014/main" id="{A0CC6A46-5FD1-73B8-79BD-C560E4A8EA59}"/>
            </a:ext>
          </a:extLst>
        </cdr:cNvPr>
        <cdr:cNvSpPr/>
      </cdr:nvSpPr>
      <cdr:spPr>
        <a:xfrm xmlns:a="http://schemas.openxmlformats.org/drawingml/2006/main">
          <a:off x="2509921" y="3608771"/>
          <a:ext cx="86655" cy="1003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0.70884</cdr:x>
      <cdr:y>0.90859</cdr:y>
    </cdr:from>
    <cdr:to>
      <cdr:x>0.72348</cdr:x>
      <cdr:y>0.93356</cdr:y>
    </cdr:to>
    <cdr:sp macro="" textlink="">
      <cdr:nvSpPr>
        <cdr:cNvPr id="23" name="Rectangle 22">
          <a:extLst xmlns:a="http://schemas.openxmlformats.org/drawingml/2006/main">
            <a:ext uri="{FF2B5EF4-FFF2-40B4-BE49-F238E27FC236}">
              <a16:creationId xmlns:a16="http://schemas.microsoft.com/office/drawing/2014/main" id="{7107F707-5BBC-EC13-046B-CDB1055E820C}"/>
            </a:ext>
          </a:extLst>
        </cdr:cNvPr>
        <cdr:cNvSpPr/>
      </cdr:nvSpPr>
      <cdr:spPr>
        <a:xfrm xmlns:a="http://schemas.openxmlformats.org/drawingml/2006/main">
          <a:off x="4195624" y="3652450"/>
          <a:ext cx="86655" cy="1003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0.70701</cdr:x>
      <cdr:y>0.79313</cdr:y>
    </cdr:from>
    <cdr:to>
      <cdr:x>0.72165</cdr:x>
      <cdr:y>0.8181</cdr:y>
    </cdr:to>
    <cdr:sp macro="" textlink="">
      <cdr:nvSpPr>
        <cdr:cNvPr id="25" name="Rectangle 24">
          <a:extLst xmlns:a="http://schemas.openxmlformats.org/drawingml/2006/main">
            <a:ext uri="{FF2B5EF4-FFF2-40B4-BE49-F238E27FC236}">
              <a16:creationId xmlns:a16="http://schemas.microsoft.com/office/drawing/2014/main" id="{9255CA85-6740-6602-D2EF-23B012963A64}"/>
            </a:ext>
          </a:extLst>
        </cdr:cNvPr>
        <cdr:cNvSpPr/>
      </cdr:nvSpPr>
      <cdr:spPr>
        <a:xfrm xmlns:a="http://schemas.openxmlformats.org/drawingml/2006/main">
          <a:off x="4184793" y="3188309"/>
          <a:ext cx="86654" cy="100377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accent6"/>
          </a:fgClr>
          <a:bgClr>
            <a:schemeClr val="accent6">
              <a:lumMod val="60000"/>
              <a:lumOff val="40000"/>
            </a:schemeClr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0.24667</cdr:x>
      <cdr:y>0.03692</cdr:y>
    </cdr:from>
    <cdr:to>
      <cdr:x>0.24667</cdr:x>
      <cdr:y>0.80777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CDFCA58-10D1-A1AD-73ED-D87CE773FBCB}"/>
            </a:ext>
          </a:extLst>
        </cdr:cNvPr>
        <cdr:cNvCxnSpPr/>
      </cdr:nvCxnSpPr>
      <cdr:spPr>
        <a:xfrm xmlns:a="http://schemas.openxmlformats.org/drawingml/2006/main">
          <a:off x="1444180" y="123993"/>
          <a:ext cx="0" cy="25887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0.82871</cdr:x>
      <cdr:y>0.18447</cdr:y>
    </cdr:from>
    <cdr:to>
      <cdr:x>0.97727</cdr:x>
      <cdr:y>0.50105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BEE25D5-875B-8957-91FD-58BC5B7C0071}"/>
            </a:ext>
          </a:extLst>
        </cdr:cNvPr>
        <cdr:cNvSpPr txBox="1"/>
      </cdr:nvSpPr>
      <cdr:spPr>
        <a:xfrm xmlns:a="http://schemas.openxmlformats.org/drawingml/2006/main">
          <a:off x="5101038" y="664092"/>
          <a:ext cx="914399" cy="113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 b="0">
              <a:solidFill>
                <a:schemeClr val="accent1"/>
              </a:solidFill>
            </a:rPr>
            <a:t>2030 total surplus units</a:t>
          </a:r>
        </a:p>
        <a:p xmlns:a="http://schemas.openxmlformats.org/drawingml/2006/main">
          <a:r>
            <a:rPr lang="en-NZ" sz="1000" b="0">
              <a:solidFill>
                <a:schemeClr val="accent1"/>
              </a:solidFill>
            </a:rPr>
            <a:t>= 36.4 + 13.8 </a:t>
          </a:r>
          <a:r>
            <a:rPr lang="en-NZ" sz="1000" b="1">
              <a:solidFill>
                <a:schemeClr val="accent1"/>
              </a:solidFill>
            </a:rPr>
            <a:t>= 50.2m</a:t>
          </a:r>
        </a:p>
      </cdr:txBody>
    </cdr:sp>
  </cdr:relSizeAnchor>
  <cdr:relSizeAnchor xmlns:cdr="http://schemas.openxmlformats.org/drawingml/2006/chartDrawing">
    <cdr:from>
      <cdr:x>0.81075</cdr:x>
      <cdr:y>0.11439</cdr:y>
    </cdr:from>
    <cdr:to>
      <cdr:x>0.82716</cdr:x>
      <cdr:y>0.58666</cdr:y>
    </cdr:to>
    <cdr:sp macro="" textlink="">
      <cdr:nvSpPr>
        <cdr:cNvPr id="9" name="Right Brace 8">
          <a:extLst xmlns:a="http://schemas.openxmlformats.org/drawingml/2006/main">
            <a:ext uri="{FF2B5EF4-FFF2-40B4-BE49-F238E27FC236}">
              <a16:creationId xmlns:a16="http://schemas.microsoft.com/office/drawing/2014/main" id="{F475E27F-8CBB-3444-08A6-B358E9A0DBDC}"/>
            </a:ext>
          </a:extLst>
        </cdr:cNvPr>
        <cdr:cNvSpPr/>
      </cdr:nvSpPr>
      <cdr:spPr>
        <a:xfrm xmlns:a="http://schemas.openxmlformats.org/drawingml/2006/main">
          <a:off x="4990474" y="411789"/>
          <a:ext cx="101039" cy="170017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NZ" sz="1100"/>
        </a:p>
      </cdr:txBody>
    </cdr:sp>
  </cdr:relSizeAnchor>
  <cdr:relSizeAnchor xmlns:cdr="http://schemas.openxmlformats.org/drawingml/2006/chartDrawing">
    <cdr:from>
      <cdr:x>0.37187</cdr:x>
      <cdr:y>0.92286</cdr:y>
    </cdr:from>
    <cdr:to>
      <cdr:x>0.62263</cdr:x>
      <cdr:y>0.9849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9BA76B5-760D-72CD-6EC4-82513E461B3A}"/>
            </a:ext>
          </a:extLst>
        </cdr:cNvPr>
        <cdr:cNvSpPr txBox="1"/>
      </cdr:nvSpPr>
      <cdr:spPr>
        <a:xfrm xmlns:a="http://schemas.openxmlformats.org/drawingml/2006/main">
          <a:off x="2289302" y="3322299"/>
          <a:ext cx="1543707" cy="2233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0.48921</cdr:x>
      <cdr:y>0.43613</cdr:y>
    </cdr:from>
    <cdr:to>
      <cdr:x>0.89759</cdr:x>
      <cdr:y>0.43613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708E783-B05B-66EB-9C79-0500C4FEC463}"/>
            </a:ext>
          </a:extLst>
        </cdr:cNvPr>
        <cdr:cNvCxnSpPr/>
      </cdr:nvCxnSpPr>
      <cdr:spPr>
        <a:xfrm xmlns:a="http://schemas.openxmlformats.org/drawingml/2006/main">
          <a:off x="2829790" y="1421895"/>
          <a:ext cx="236220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0.38712</cdr:x>
      <cdr:y>0.70589</cdr:y>
    </cdr:from>
    <cdr:to>
      <cdr:x>0.87783</cdr:x>
      <cdr:y>0.70589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7CC96F1-8225-103A-2682-184775BEBE91}"/>
            </a:ext>
          </a:extLst>
        </cdr:cNvPr>
        <cdr:cNvCxnSpPr/>
      </cdr:nvCxnSpPr>
      <cdr:spPr>
        <a:xfrm xmlns:a="http://schemas.openxmlformats.org/drawingml/2006/main">
          <a:off x="2239240" y="2301370"/>
          <a:ext cx="283845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0.27883</cdr:x>
      <cdr:y>0.03175</cdr:y>
    </cdr:from>
    <cdr:to>
      <cdr:x>0.6902</cdr:x>
      <cdr:y>0.11081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359D2735-293A-CAA0-88D1-7DE49E72FD54}"/>
            </a:ext>
          </a:extLst>
        </cdr:cNvPr>
        <cdr:cNvSpPr txBox="1"/>
      </cdr:nvSpPr>
      <cdr:spPr>
        <a:xfrm xmlns:a="http://schemas.openxmlformats.org/drawingml/2006/main">
          <a:off x="1617874" y="103523"/>
          <a:ext cx="238685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>
              <a:solidFill>
                <a:schemeClr val="accent1"/>
              </a:solidFill>
            </a:rPr>
            <a:t>Central estimate = 38m; Range</a:t>
          </a:r>
          <a:r>
            <a:rPr lang="en-NZ" sz="1000" baseline="0">
              <a:solidFill>
                <a:schemeClr val="accent1"/>
              </a:solidFill>
            </a:rPr>
            <a:t> = 29m </a:t>
          </a:r>
          <a:endParaRPr lang="en-NZ" sz="10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0.48964</cdr:x>
      <cdr:y>0.30087</cdr:y>
    </cdr:from>
    <cdr:to>
      <cdr:x>0.90101</cdr:x>
      <cdr:y>0.37992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098730B-932C-8A46-A88B-6679B35248C5}"/>
            </a:ext>
          </a:extLst>
        </cdr:cNvPr>
        <cdr:cNvSpPr txBox="1"/>
      </cdr:nvSpPr>
      <cdr:spPr>
        <a:xfrm xmlns:a="http://schemas.openxmlformats.org/drawingml/2006/main">
          <a:off x="2841065" y="980889"/>
          <a:ext cx="238685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>
              <a:solidFill>
                <a:schemeClr val="accent1"/>
              </a:solidFill>
            </a:rPr>
            <a:t>Central estimate = 53m; Range</a:t>
          </a:r>
          <a:r>
            <a:rPr lang="en-NZ" sz="900" baseline="0">
              <a:solidFill>
                <a:schemeClr val="accent1"/>
              </a:solidFill>
            </a:rPr>
            <a:t> = 33m </a:t>
          </a:r>
          <a:endParaRPr lang="en-NZ" sz="9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0.46068</cdr:x>
      <cdr:y>0.57928</cdr:y>
    </cdr:from>
    <cdr:to>
      <cdr:x>0.87204</cdr:x>
      <cdr:y>0.65833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9CB21912-A114-1C4A-A2C5-D609A64563A6}"/>
            </a:ext>
          </a:extLst>
        </cdr:cNvPr>
        <cdr:cNvSpPr txBox="1"/>
      </cdr:nvSpPr>
      <cdr:spPr>
        <a:xfrm xmlns:a="http://schemas.openxmlformats.org/drawingml/2006/main">
          <a:off x="2672976" y="1888564"/>
          <a:ext cx="238685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>
              <a:solidFill>
                <a:schemeClr val="accent1"/>
              </a:solidFill>
            </a:rPr>
            <a:t>Central estimate = 50m; Range</a:t>
          </a:r>
          <a:r>
            <a:rPr lang="en-NZ" sz="900" baseline="0">
              <a:solidFill>
                <a:schemeClr val="accent1"/>
              </a:solidFill>
            </a:rPr>
            <a:t> = 39m </a:t>
          </a:r>
          <a:endParaRPr lang="en-NZ" sz="900">
            <a:solidFill>
              <a:schemeClr val="accent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LC\compareU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F1%20Tax%20forecasting\2008\NEFU\TF12%20Forecast%20outputs,%20writeups\Corp%20Tax%202008%20NEF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australia.sharepoint.com/sites/MfEETSReviewIndependent/Shared%20Documents/General/03.%20Execution/25.MfE.EXE%20-%20Forestry%20Model_Test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TSUnitPrice22/Shared%20Documents/2024%20Advice/03.%20Analysis/Paul%20forestry%20model%20review/NEW%20VERSION%20Nov%2023%20-%20ETS%20forestry%20model-%20VC%20update%20for%202024%20advice%20-PY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HENDLED\2111259_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climatechangegovt-my.sharepoint.com/personal/vanessa_chalk_climatecommission_govt_nz/Documents/Documents/ETS%20Settings%20Projects/ETS%20Settings%202025%20advice/Forestry%20model/CCC%20ETS%20forestry%20model%20review%2024.10.2024.xlsx?6F8BA4C1" TargetMode="External"/><Relationship Id="rId1" Type="http://schemas.openxmlformats.org/officeDocument/2006/relationships/externalLinkPath" Target="file:///\\6F8BA4C1\CCC%20ETS%20forestry%20model%20review%2024.10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TSUnitPrice22/Shared%20Documents/2025%20Advice/03.%20Analysis/02.%20Modelling%20&amp;%20data%20analysis/Unit%20Supply/CURRENT%20Unit%20Supply%20Model_Version%203_March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is-02\Year%20end\Current%20Form\Accounts\publishing\Accoun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PARKYNO\1844681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rPortbl\iManage\KEENEM\763757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HASLAMN\1264192_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9-20\5.%20BEFU%202020\3%20-%20Finals\9%20-%20Publishing%20-%20Forecast%20Financial%20Statements\Forecast%20Financial%20Statements\1.%20Linked%20accounts\BEFU%2020%20Linked%20Accoun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recast%20Updates\Economic%20models\Summary%20Indicators\SI_Calculations_vO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PARKYNO\1877751_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RK\CHT\s2008weo\Ch1\fig13\Fig1_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ryforenvironment.sharepoint.com/ERP2/Data/Data-underpinning-NDC-announcement%20TD%20vers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Chalk\Downloads\Data-underpinning-NDC-announcement%20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MANNINGC\4348348_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Hernandez\Downloads\Municipal%20solid%20waste%20model%20for%202021%20inventor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3%20Tax%20monitoring\TF32%20Tax%20data\Monthi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fis-02\Year%20end\Current%20Form\Accounts\publishing\Accoun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cloughlins\AppData\Roaming\Microsoft\Excel\908717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EER"/>
      <sheetName val="EDNA"/>
      <sheetName val="Sheet2"/>
      <sheetName val="Sheet9"/>
      <sheetName val="UL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tons"/>
      <sheetName val="Assumptions"/>
      <sheetName val="FIRST"/>
      <sheetName val="UOMI"/>
      <sheetName val="NRWTByPayer"/>
      <sheetName val="NRWTListed"/>
      <sheetName val="NRWTNoms"/>
      <sheetName val="FDWPRevDtl"/>
      <sheetName val="FDWPRecDtl"/>
      <sheetName val="Dividends"/>
      <sheetName val="OutturnData"/>
      <sheetName val="ScratchPad"/>
      <sheetName val="MacroInputs"/>
      <sheetName val="OpSurp"/>
      <sheetName val="AnnToQtr"/>
      <sheetName val="NRWTMth"/>
      <sheetName val="NRWTAnn"/>
      <sheetName val="NRWTDtl"/>
      <sheetName val="FDWPAnn"/>
      <sheetName val="FDWPMth"/>
      <sheetName val="Rcpt08 (2)"/>
      <sheetName val="DWTMth"/>
      <sheetName val="DWTAnn"/>
      <sheetName val="DWTSumm"/>
      <sheetName val="DWTDtl"/>
      <sheetName val="DWTDtlOld"/>
      <sheetName val="RevMth"/>
      <sheetName val="RecMth"/>
      <sheetName val="RefMth"/>
      <sheetName val="RevAnn"/>
      <sheetName val="LossEqns"/>
      <sheetName val="DataPrep"/>
      <sheetName val="Forecast"/>
      <sheetName val="NewRex (2)"/>
      <sheetName val="SumAll (2)"/>
      <sheetName val="OSvsPfts"/>
      <sheetName val="Sheet1"/>
      <sheetName val="ExAdj"/>
      <sheetName val="ExAdjPREFU"/>
      <sheetName val="ExAdjChg"/>
      <sheetName val="MonthlySum"/>
      <sheetName val="Rcpt08"/>
      <sheetName val="ProvVsTermRev"/>
      <sheetName val="PTMthsRev"/>
      <sheetName val="ProvVsTermRec"/>
      <sheetName val="PTMthsRec"/>
      <sheetName val="Accrual"/>
      <sheetName val="FinalCoTax"/>
      <sheetName val="OldForecasts"/>
      <sheetName val="AllRec"/>
      <sheetName val="NewRex"/>
      <sheetName val="GrandRec"/>
      <sheetName val="Funds"/>
      <sheetName val="LossSum"/>
      <sheetName val="PandL"/>
      <sheetName val="AnnualSum"/>
      <sheetName val="SumAll"/>
      <sheetName val="SumWide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ETRdata"/>
      <sheetName val="ETR1"/>
      <sheetName val="ETR2"/>
      <sheetName val="ETR3"/>
      <sheetName val="ETR4"/>
      <sheetName val="ETR5"/>
      <sheetName val="Alldivs"/>
      <sheetName val="Reckon"/>
      <sheetName val="Chart 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SUMMARY"/>
      <sheetName val="Test 5"/>
      <sheetName val="Test 16"/>
      <sheetName val="Test 22"/>
      <sheetName val="Data inputs"/>
      <sheetName val="Assumptions"/>
      <sheetName val="Sensitivity analysis"/>
      <sheetName val="Max and min range"/>
      <sheetName val="Max and min range (2)"/>
      <sheetName val="&gt;&gt;PBC"/>
      <sheetName val="Contents"/>
      <sheetName val="Version history"/>
      <sheetName val="Dashboard"/>
      <sheetName val="ETS calculations"/>
      <sheetName val="&gt;&gt; MPI ETS projections Oct '21"/>
      <sheetName val="ETS yield tables"/>
      <sheetName val="Target accounting calculations"/>
      <sheetName val="ENZ scenario inputs"/>
      <sheetName val="Forestry registrations data"/>
      <sheetName val="Yield tables data"/>
      <sheetName val="Target accounting assumptions"/>
      <sheetName val="&gt;&gt; MPI NDC projections Jun '21"/>
      <sheetName val="Afforestation data (2)"/>
      <sheetName val="Activity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ETS calculations"/>
      <sheetName val="ETS yield and calcs graphs"/>
      <sheetName val="&gt;&gt; MPI ETS projections Oct '21"/>
      <sheetName val="ETS yield tables"/>
      <sheetName val="ETS vs inventory comparisons"/>
      <sheetName val="Total p89 UPDATE Nov 23"/>
      <sheetName val="Yield Tables"/>
      <sheetName val="Model assumptions summary"/>
      <sheetName val="Target accounting calcs"/>
      <sheetName val="Target accounting assumptions"/>
      <sheetName val="Scenario inputs"/>
      <sheetName val="Updated MPI projections"/>
      <sheetName val=" MPI Forecast"/>
      <sheetName val="&gt;&gt; MPI NDC projections Jun '21"/>
      <sheetName val="Afforestation data (2)"/>
      <sheetName val="Afforestation projections"/>
      <sheetName val="Afforestation data"/>
      <sheetName val="Pre-1990 deforestation"/>
      <sheetName val="Activity data"/>
      <sheetName val="Total p89 by species Jan 23"/>
      <sheetName val="Total p89 as at 26 Aug 2021"/>
      <sheetName val="Activity data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Weekly Reporting"/>
      <sheetName val="Database Codes"/>
      <sheetName val="Database"/>
      <sheetName val="Aggregation 1"/>
      <sheetName val="Aggregation 2"/>
      <sheetName val="Circ for Updates"/>
      <sheetName val="Pivot - Summary"/>
      <sheetName val="Pivot - Sources"/>
      <sheetName val="Pivot - BEFU"/>
      <sheetName val="Report - Summary"/>
      <sheetName val="Summary 27 Sep"/>
      <sheetName val="Summary 20 Sep"/>
      <sheetName val="Summary 16 August"/>
      <sheetName val="Pivot - Published Report"/>
      <sheetName val="DIA Response Costs"/>
      <sheetName val="DIA Email"/>
      <sheetName val="Circ for HYEFU 2012"/>
      <sheetName val="Pivot - Cash"/>
      <sheetName val="Summary 4 Octo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info page"/>
      <sheetName val="Input variables"/>
      <sheetName val="Annual unit supply results"/>
      <sheetName val="Cummulative unit supply"/>
      <sheetName val="1. Allocations PERMANENT"/>
      <sheetName val="2. Allocations AVERAGING"/>
      <sheetName val="3. Allocations STOCK CHANGE"/>
      <sheetName val="4. Surrenders ALL"/>
      <sheetName val="5. Allocations FORECAST"/>
      <sheetName val="Stockchange yield tables"/>
      <sheetName val="TOTAL Target accounting (TA)"/>
      <sheetName val="ETS registered TA estimate"/>
      <sheetName val="Non-ETS registered TA"/>
      <sheetName val="ETS vs non-ETS TA summary"/>
      <sheetName val="Target accounting assumptions"/>
      <sheetName val="Inventory vs. ETS ha"/>
      <sheetName val="Afforestation scenario inputs"/>
      <sheetName val="P89 ETS Forest Registrations"/>
      <sheetName val="MPI Forest yield tables"/>
      <sheetName val="MPI Registrations pivot"/>
      <sheetName val="MPI P89 registrations breakdown"/>
      <sheetName val="OLD P89 forestry registrati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history"/>
      <sheetName val="Contents"/>
      <sheetName val="Current 2024 NZ ETS settings"/>
      <sheetName val="Main Report_Tables &amp; graphs (2)"/>
      <sheetName val="Tech Annex 1_Tables &amp; graphs"/>
      <sheetName val="1. Emissions reduction targets"/>
      <sheetName val="1. Align with targets"/>
      <sheetName val="2. NZ ETS cap"/>
      <sheetName val="1. Align with targets_OLD"/>
      <sheetName val="1. Align with targets OLD2"/>
      <sheetName val="3. Technical adjustments"/>
      <sheetName val="4. Industrial free allocation"/>
      <sheetName val="5a. Total surplus estimate"/>
      <sheetName val="5a. Annual surplus volumes"/>
      <sheetName val="5b. Discrepancy adjustment"/>
      <sheetName val="7. Auction volumes from 28"/>
      <sheetName val="Additional analysis --&gt;"/>
      <sheetName val="P90 units held long term"/>
      <sheetName val="P89 units held for harvest"/>
      <sheetName val="Hedging by emitters"/>
      <sheetName val="MERP4 forestry units carryover"/>
      <sheetName val="Stockpile size review"/>
      <sheetName val="Stockpile volumes &amp; allocations"/>
      <sheetName val="Total unit supply estimates"/>
      <sheetName val="Industrial allocation data"/>
      <sheetName val="7. Auction volumes from 26"/>
      <sheetName val="ERP2 summary"/>
      <sheetName val="Forestry ETS vs. non breakdown"/>
      <sheetName val="LFF hedging analysis"/>
      <sheetName val="ERP2 New Measures Detailed"/>
      <sheetName val="Holding volumes V2"/>
      <sheetName val="Holding volumes"/>
      <sheetName val="Demo path summary update"/>
      <sheetName val="Updated 2022 demo path Nov-24"/>
      <sheetName val="Crown land ERP Planting Profile"/>
      <sheetName val="Forestry unit flows"/>
      <sheetName val="Total unit flows"/>
      <sheetName val="IA Allocative baselines"/>
      <sheetName val="Forestry ETS vs. non-ETS summar"/>
      <sheetName val="Demo path summary (old)"/>
      <sheetName val="Forestry inside vs out estimate"/>
      <sheetName val="Jul-24 ENZ demo path update"/>
      <sheetName val="Other IPPU historic data"/>
      <sheetName val="2022 demonstration path update"/>
      <sheetName val="MfE target accounting projectio"/>
      <sheetName val="Misc. variable inputs"/>
      <sheetName val="Other"/>
      <sheetName val="Matt graph"/>
      <sheetName val="NZU price tracking"/>
      <sheetName val="old p89 harvest liabilities"/>
      <sheetName val="Price control settings"/>
      <sheetName val="(MfE IA forecasts 2025)"/>
      <sheetName val="Reo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@RISK parameters"/>
      <sheetName val="Economic data"/>
      <sheetName val="Fiscal data"/>
      <sheetName val="Elasticity data"/>
      <sheetName val="Calculation &amp; Results"/>
      <sheetName val="cab"/>
      <sheetName val="Inverse CAB"/>
      <sheetName val="Historical results"/>
      <sheetName val="Cyclically adj balance vsOBEGAL"/>
      <sheetName val="BEFU Table"/>
      <sheetName val="Chart1"/>
      <sheetName val="Sheet1"/>
      <sheetName val="Historical results (2)"/>
      <sheetName val="Sheet3"/>
      <sheetName val="Sheet6"/>
      <sheetName val="Shee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tons"/>
      <sheetName val="Assumptions"/>
      <sheetName val="UOMI"/>
      <sheetName val="NRWTByPayer"/>
      <sheetName val="NRWTListed"/>
      <sheetName val="NRWTNoms"/>
      <sheetName val="OutturnData"/>
      <sheetName val="MacroInputs"/>
      <sheetName val="NZSFund"/>
      <sheetName val="ExAdj"/>
      <sheetName val="OpSurp"/>
      <sheetName val="AnnToQtr"/>
      <sheetName val="FIRST"/>
      <sheetName val="NRWT"/>
      <sheetName val="NRWTRex"/>
      <sheetName val="NRWTSumm"/>
      <sheetName val="FDWPbyPayer"/>
      <sheetName val="FDWP"/>
      <sheetName val="FDWPRex"/>
      <sheetName val="Dividends"/>
      <sheetName val="DWT"/>
      <sheetName val="DWTRex"/>
      <sheetName val="DWTSumm"/>
      <sheetName val="DWTDtl"/>
      <sheetName val="LossEqns"/>
      <sheetName val="ScratchPad"/>
      <sheetName val="Forecast"/>
      <sheetName val="Funds"/>
      <sheetName val="PandL"/>
      <sheetName val="MonthlySum"/>
      <sheetName val="AnnualSum"/>
      <sheetName val="AllRec"/>
      <sheetName val="SumAll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Reckon"/>
      <sheetName val="ETRdata"/>
      <sheetName val="ETR1"/>
      <sheetName val="ETR2"/>
      <sheetName val="ETR3"/>
      <sheetName val="ETR4"/>
      <sheetName val="Alldi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"/>
      <sheetName val="Tables"/>
      <sheetName val="Capital"/>
      <sheetName val="Savings"/>
      <sheetName val="Maori related"/>
      <sheetName val="Speaker"/>
      <sheetName val="Act"/>
      <sheetName val="Maori"/>
      <sheetName val="United_Future"/>
      <sheetName val="Key"/>
      <sheetName val="English"/>
      <sheetName val="Brownlee"/>
      <sheetName val="Power"/>
      <sheetName val="Ryall"/>
      <sheetName val="N_Smith"/>
      <sheetName val="Collins"/>
      <sheetName val="Tolley"/>
      <sheetName val="Finlayson"/>
      <sheetName val="D_Carter"/>
      <sheetName val="McCully"/>
      <sheetName val="Groser"/>
      <sheetName val="Mapp"/>
      <sheetName val="Joyce"/>
      <sheetName val="Te_Heuheu"/>
      <sheetName val="Bennett"/>
      <sheetName val="Heatley"/>
      <sheetName val="Wong"/>
      <sheetName val="Coleman"/>
      <sheetName val="Wilkinson"/>
      <sheetName val="Williamson"/>
      <sheetName val="Worth"/>
      <sheetName val="J_Carter"/>
      <sheetName val="Adjustments"/>
      <sheetName val="Cabinet_Decisions"/>
      <sheetName val="Contingency item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ed accounts Checklist"/>
      <sheetName val="Cross Checks"/>
      <sheetName val="Control"/>
      <sheetName val="Perform"/>
      <sheetName val="Fun Class"/>
      <sheetName val="SOCRE"/>
      <sheetName val="Net worth"/>
      <sheetName val="Cash flows"/>
      <sheetName val="CF Rec"/>
      <sheetName val="Position"/>
      <sheetName val="Borrowings"/>
      <sheetName val="Commit &amp; Cont"/>
      <sheetName val="Notes 1- 6"/>
      <sheetName val="Note 7-12"/>
      <sheetName val="Notes 13-15"/>
      <sheetName val="Note 16"/>
      <sheetName val="Note 17"/>
      <sheetName val="2019 Actual"/>
      <sheetName val="2020 Forecast"/>
      <sheetName val="2021 Forecast"/>
      <sheetName val="2022 Forecast"/>
      <sheetName val="2023 Forecast"/>
      <sheetName val="2024 Forecast"/>
      <sheetName val="Time Series"/>
      <sheetName val="FSM Data"/>
      <sheetName val="Fiscal Data - CAB New"/>
      <sheetName val="Fiscal Data - FI New"/>
      <sheetName val="CAB data -Old"/>
      <sheetName val="CC Impulse - Old"/>
      <sheetName val="CC + CE Impulse - old"/>
      <sheetName val="TR Comms table"/>
      <sheetName val="Chapter FI table"/>
      <sheetName val="Dashboard tables"/>
      <sheetName val="Note 17 (old)"/>
      <sheetName val="FSM data old 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Main"/>
      <sheetName val="Notes"/>
      <sheetName val="Economic Data"/>
      <sheetName val="Fiscal Data - CAB"/>
      <sheetName val="Fiscal Data - FI"/>
      <sheetName val="Tax Data"/>
      <sheetName val="Inputs"/>
      <sheetName val="Calculations - CAB"/>
      <sheetName val="Calculations - FI"/>
      <sheetName val="Scenarios Model"/>
      <sheetName val="Results"/>
      <sheetName val="Scenarios"/>
      <sheetName val="Forecast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Other assets - indexed"/>
      <sheetName val="Other assets - normal"/>
      <sheetName val="Trust v company v direct"/>
      <sheetName val="Bond v rental housing"/>
      <sheetName val="40% saving"/>
      <sheetName val="Indexation"/>
      <sheetName val="Indexation (2)"/>
      <sheetName val="Directly held"/>
      <sheetName val="Tax gap - Hypothetical person"/>
      <sheetName val="Tax gap"/>
      <sheetName val="Tax gap (2)"/>
      <sheetName val="Tax gap (3)"/>
      <sheetName val="Nordic @ 17.5"/>
      <sheetName val="Simplified nordic"/>
      <sheetName val="Sheet2"/>
      <sheetName val="Directly held v2"/>
      <sheetName val="Company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mp NGAP (Adv&amp;Emg)"/>
      <sheetName val="Panel 1"/>
      <sheetName val="Panel 2"/>
      <sheetName val="Panel 3"/>
      <sheetName val="Panel 4"/>
      <sheetName val="Panel 5"/>
      <sheetName val="ChartData"/>
      <sheetName val="Pr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emissions data"/>
      <sheetName val="budgets and targets"/>
      <sheetName val="notes on calculations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emissions data"/>
      <sheetName val="budgets and targets"/>
      <sheetName val="notes on calculations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lay"/>
      <sheetName val="Guide"/>
      <sheetName val="Sources"/>
      <sheetName val="Statistics NZ"/>
      <sheetName val="Population Treasury"/>
      <sheetName val="Labour Force Treasury"/>
      <sheetName val="Exogenous"/>
      <sheetName val="NZSF Adjuster"/>
      <sheetName val="Fiscal Forecast Adjuster"/>
      <sheetName val="Fiscal Outturns"/>
      <sheetName val="Economic Forecasts"/>
      <sheetName val="Fiscal Forecasts"/>
      <sheetName val="Assumptions"/>
      <sheetName val="2020 PREFU FSM"/>
      <sheetName val="Scenario"/>
      <sheetName val="Tables 2 &amp; 3"/>
      <sheetName val="Fig 2.19"/>
      <sheetName val="Fig 2.20"/>
      <sheetName val="Fig 2.21"/>
      <sheetName val="Fig 2.22"/>
      <sheetName val="Fig 2.23"/>
      <sheetName val="Fig 2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olicy impact analysis"/>
      <sheetName val="Input waste data here"/>
      <sheetName val="List of landfills"/>
      <sheetName val="Composition and DDOC"/>
      <sheetName val="Other parameters"/>
      <sheetName val="Bulk waste decay models 5.A.1"/>
      <sheetName val="MEG"/>
      <sheetName val="All results 5.A.1.a"/>
      <sheetName val="Data for CRF 5.A.1.a"/>
      <sheetName val="Graph for 5.A.1.a"/>
      <sheetName val="more recovery graphs"/>
      <sheetName val="Data for 5.F"/>
      <sheetName val="Other data for NIR"/>
      <sheetName val="AD Table for NIR"/>
      <sheetName val="Recalculations"/>
      <sheetName val="NO LEVY SCENARIO decay model"/>
      <sheetName val="Data for uncategorised 5.A.3"/>
      <sheetName val="Bulk waste decay models 5.A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 Adjust Lookups"/>
      <sheetName val="July 1998 Series"/>
      <sheetName val="Receipts"/>
      <sheetName val="Revenue"/>
      <sheetName val="Macro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astTo02"/>
      <sheetName val="ActualTo02"/>
      <sheetName val="FcastConsol"/>
      <sheetName val="ActualConsol"/>
      <sheetName val="OpExp"/>
      <sheetName val="NetCash"/>
      <sheetName val="AdjOpExp"/>
      <sheetName val="Tax"/>
      <sheetName val="TotRec"/>
      <sheetName val="NetCashPctRec"/>
      <sheetName val="FinCost"/>
      <sheetName val="BenExp"/>
      <sheetName val="Purch"/>
      <sheetName val="PurchAdj"/>
      <sheetName val="Advances"/>
      <sheetName val="PurchInv"/>
      <sheetName val="ReportTables"/>
      <sheetName val="Tablz"/>
      <sheetName val="forecast and projectio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CC" id="{6B0E6DC9-9742-446B-97E9-3A97D689BA68}" userId="CCC" providerId="None"/>
  <person displayName="Author" id="{AD68B191-1132-4C8A-9441-230789D0C4E8}" userId="Author" providerId="None"/>
</personList>
</file>

<file path=xl/theme/theme1.xml><?xml version="1.0" encoding="utf-8"?>
<a:theme xmlns:a="http://schemas.openxmlformats.org/drawingml/2006/main" name="Office Theme">
  <a:themeElements>
    <a:clrScheme name="CCC colour templat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A5D"/>
      </a:accent1>
      <a:accent2>
        <a:srgbClr val="00ACD3"/>
      </a:accent2>
      <a:accent3>
        <a:srgbClr val="5BC4BE"/>
      </a:accent3>
      <a:accent4>
        <a:srgbClr val="6AC17B"/>
      </a:accent4>
      <a:accent5>
        <a:srgbClr val="EF4D7F"/>
      </a:accent5>
      <a:accent6>
        <a:srgbClr val="FAA74A"/>
      </a:accent6>
      <a:hlink>
        <a:srgbClr val="9E76B4"/>
      </a:hlink>
      <a:folHlink>
        <a:srgbClr val="0060A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CC Colours">
    <a:dk1>
      <a:srgbClr val="000000"/>
    </a:dk1>
    <a:lt1>
      <a:srgbClr val="FFFFFF"/>
    </a:lt1>
    <a:dk2>
      <a:srgbClr val="003A5D"/>
    </a:dk2>
    <a:lt2>
      <a:srgbClr val="E7E6E6"/>
    </a:lt2>
    <a:accent1>
      <a:srgbClr val="00ADD3"/>
    </a:accent1>
    <a:accent2>
      <a:srgbClr val="46C1BE"/>
    </a:accent2>
    <a:accent3>
      <a:srgbClr val="69C17B"/>
    </a:accent3>
    <a:accent4>
      <a:srgbClr val="EF4D7F"/>
    </a:accent4>
    <a:accent5>
      <a:srgbClr val="9E76B3"/>
    </a:accent5>
    <a:accent6>
      <a:srgbClr val="FAA749"/>
    </a:accent6>
    <a:hlink>
      <a:srgbClr val="0060A2"/>
    </a:hlink>
    <a:folHlink>
      <a:srgbClr val="A6C0CB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CC Colours">
    <a:dk1>
      <a:srgbClr val="000000"/>
    </a:dk1>
    <a:lt1>
      <a:srgbClr val="FFFFFF"/>
    </a:lt1>
    <a:dk2>
      <a:srgbClr val="003A5D"/>
    </a:dk2>
    <a:lt2>
      <a:srgbClr val="E7E6E6"/>
    </a:lt2>
    <a:accent1>
      <a:srgbClr val="00ADD3"/>
    </a:accent1>
    <a:accent2>
      <a:srgbClr val="46C1BE"/>
    </a:accent2>
    <a:accent3>
      <a:srgbClr val="69C17B"/>
    </a:accent3>
    <a:accent4>
      <a:srgbClr val="EF4D7F"/>
    </a:accent4>
    <a:accent5>
      <a:srgbClr val="9E76B3"/>
    </a:accent5>
    <a:accent6>
      <a:srgbClr val="FAA749"/>
    </a:accent6>
    <a:hlink>
      <a:srgbClr val="0060A2"/>
    </a:hlink>
    <a:folHlink>
      <a:srgbClr val="A6C0CB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0" dT="2025-04-03T02:41:09.96" personId="{6B0E6DC9-9742-446B-97E9-3A97D689BA68}" id="{698CC960-02E9-494A-A581-EA8294FBADD4}">
    <text xml:space="preserve">This is based on an updated estimate of the 2025 NZ ETS cap from ERP2 projections - this is different than the 2025 cap used in current settings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23-05-11T02:06:37.40" personId="{00000000-0000-0000-0000-000000000000}" id="{0B2A47C0-8A51-4E4A-A76D-4C9535CCEE00}">
    <text>Only municipal landfill disposal facilities are covered by the NZ ETS. All other waste emissions are outside of the NZ ETS. This includes emissions from non-municipal landfills, farm fills, and wastewater treatment.</text>
  </threadedComment>
  <threadedComment ref="B10" dT="2023-05-11T02:11:08.27" personId="{00000000-0000-0000-0000-000000000000}" id="{3F06B33B-A91F-44E3-A249-D16B2397AFD9}">
    <text>A portion of HFC emissions associated with certain goods and vehicles are priced through the Synthetic Greenhouse Gas (SGG) levy instead of facing NZ ETS unit surrender obligations.</text>
  </threadedComment>
  <threadedComment ref="B11" dT="2023-05-11T02:07:34.37" personId="{00000000-0000-0000-0000-000000000000}" id="{E5BB02DE-9E97-411B-8606-789147D4A91E}">
    <text>Several small emissions sources in the Industrial Processes and Product Use (IPPU) inventory category are outside the NZ ETS. These include:
-Non-energy products from fuels and solvent use
-Sulphur hexafluoride and perfluorocarbons from medical and other product use
-Nitrous oxide from medical applications
-Other uses of carbonate</text>
  </threadedComment>
  <threadedComment ref="B35" dT="2025-04-03T02:44:04.64" personId="{6B0E6DC9-9742-446B-97E9-3A97D689BA68}" id="{E5D7B0F1-5E06-45A3-B212-AAF208C31045}">
    <text xml:space="preserve">ERP2 updated to meet EB3 minus non-NZ ETS emissions. 
This assigns all the additional abatement needed to meet EB3 to the NZ ETS. </text>
  </threadedComment>
  <threadedComment ref="J43" dT="2025-04-03T02:44:18.74" personId="{6B0E6DC9-9742-446B-97E9-3A97D689BA68}" id="{F9B62F5D-918F-4CF9-8C2B-7B87325CE0D3}">
    <text>Difference between ERP2 path and path updated to meet EB3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" dT="2025-04-03T02:45:55.24" personId="{6B0E6DC9-9742-446B-97E9-3A97D689BA68}" id="{EAD0E164-A6E6-4032-9A4E-43F4C4EF6517}">
    <text>Data has been updated to reflect allocations based on production volumes and updated allocative baselines, meaning these volumes are not in line with actual allocations for IA in 2023</text>
  </threadedComment>
  <threadedComment ref="B5" dT="2022-07-19T01:54:22.44" personId="{00000000-0000-0000-0000-000000000000}" id="{46180329-D978-4A27-B954-5C6C0A6C1F06}">
    <text>NZS + Pacific Steel + Fletcher Steel in its different ownership structures over time. Activities: iron and steel from iron sand and carbon steel from cold ferrous feed.</text>
  </threadedComment>
  <threadedComment ref="B7" dT="2022-07-19T01:55:30.88" personId="{00000000-0000-0000-0000-000000000000}" id="{53C8A70D-8902-432D-A842-E2D647B0B0B2}">
    <text>Caustic soda, hydrogen peroxide</text>
  </threadedComment>
  <threadedComment ref="B9" dT="2022-07-19T01:54:51.42" personId="{00000000-0000-0000-0000-000000000000}" id="{30D4C9B7-9D38-4890-86B8-1206EE667B55}">
    <text>Whey powder and lactose</text>
  </threadedComment>
  <threadedComment ref="B10" dT="2023-09-19T01:10:52.52" personId="{00000000-0000-0000-0000-000000000000}" id="{8DD86981-0EE8-40B0-865A-9D32AEA3FDB4}">
    <text>Fresh capsicums, cucumbers, tomatoes and cut roses</text>
  </threadedComment>
  <threadedComment ref="B11" dT="2022-07-19T01:55:04.79" personId="{00000000-0000-0000-0000-000000000000}" id="{FB4E9A34-2A0E-4EAA-A189-646BD1ED8BF3}">
    <text>Protein meal and gelatine</text>
  </threadedComment>
  <threadedComment ref="B12" dT="2022-07-19T01:55:43.16" personId="{00000000-0000-0000-0000-000000000000}" id="{30DD0CE5-46A2-4432-92BA-4D5E7675AB8D}">
    <text>Ethanol, clay, glass + tissue paper, reconstituted wood panels</text>
  </threadedComment>
  <threadedComment ref="B13" dT="2022-07-19T01:55:17.60" personId="{00000000-0000-0000-0000-000000000000}" id="{698C8CF3-C05F-4980-A595-87046A479C8E}">
    <text>Cartonboard, market pulp, packaging and industrial paper, newsprint</text>
  </threadedComment>
  <threadedComment ref="E35" dT="2022-07-19T02:01:48.14" personId="{00000000-0000-0000-0000-000000000000}" id="{591553AD-6760-4949-A912-F599BABE8459}">
    <text>Assumption NZAS remains open beyond 2024 and potline 4 remains idled</text>
  </threadedComment>
  <threadedComment ref="D37" dT="2025-04-03T02:47:28.68" personId="{6B0E6DC9-9742-446B-97E9-3A97D689BA68}" id="{23A49CAC-8B4C-4314-844B-6593992742E8}">
    <text>Estimate from MfE, based on -220k in 2024 and 2025 due to change in treatment of cogen</text>
  </threadedComment>
  <threadedComment ref="F37" dT="2025-04-03T02:47:41.56" personId="{6B0E6DC9-9742-446B-97E9-3A97D689BA68}" id="{5080EF47-CA4D-4B5A-B5C7-BFBD34FCB93A}">
    <text xml:space="preserve">Adjusted for estimate in reduction of allocative baseline due to electric arc furnace installation. </text>
  </threadedComment>
  <threadedComment ref="D38" dT="2025-04-03T02:47:57.34" personId="{6B0E6DC9-9742-446B-97E9-3A97D689BA68}" id="{AF6E7F2F-C4AE-4EB7-A815-7071D3F0D655}">
    <text>Based on Methanex production reporting and forecasts. 
https://www.methanex.com/sustainability/protecting-people-and-the-environment/</text>
    <extLst>
      <x:ext xmlns:xltc2="http://schemas.microsoft.com/office/spreadsheetml/2020/threadedcomments2" uri="{F7C98A9C-CBB3-438F-8F68-D28B6AF4A901}">
        <xltc2:checksum>46464993</xltc2:checksum>
        <xltc2:hyperlink startIndex="56" length="78" url="https://www.methanex.com/sustainability/protecting-people-and-the-environment/"/>
      </x:ext>
    </extLs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20" dT="2025-04-03T02:49:03.65" personId="{6B0E6DC9-9742-446B-97E9-3A97D689BA68}" id="{796EB4F5-5435-4105-9C34-2484F33717C7}">
    <text>As of 30 September 2023</text>
  </threadedComment>
  <threadedComment ref="G20" dT="2025-04-03T02:49:14.74" personId="{6B0E6DC9-9742-446B-97E9-3A97D689BA68}" id="{13E90B39-0284-424A-8886-7D53813C3D0A}">
    <text>As of December 31 2023</text>
  </threadedComment>
  <threadedComment ref="A23" dT="2025-04-03T02:49:36.22" personId="{6B0E6DC9-9742-446B-97E9-3A97D689BA68}" id="{72AB55B4-3FF6-498F-86DB-004F1A23D5AF}">
    <text>Holding units not counted separately in 2024 estimate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8" dT="2025-04-03T02:51:05.28" personId="{6B0E6DC9-9742-446B-97E9-3A97D689BA68}" id="{DE391B6E-AC71-4B34-B577-EBAD7F36830A}">
    <text xml:space="preserve">Note: any differences in surplus reduction volumes are dealt with via the udpated surplus estimate step. </text>
  </threadedComment>
  <threadedComment ref="C9" dT="2025-04-03T02:51:33.21" personId="{6B0E6DC9-9742-446B-97E9-3A97D689BA68}" id="{C18B61EF-BAC4-491A-912A-604B82574440}">
    <text>Maintaining current cap in 2025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F12" dT="2025-04-03T02:51:50.37" personId="{6B0E6DC9-9742-446B-97E9-3A97D689BA68}" id="{F63FD87C-1AB8-4296-8303-5A4FB6C27B86}">
    <text>Includes option to spread volumes (see V6 to alter)</text>
  </threadedComment>
  <threadedComment ref="B21" dT="2024-02-21T00:13:45.17" personId="{AD68B191-1132-4C8A-9441-230789D0C4E8}" id="{21C7E518-2B5F-4661-8E1F-7F53BF0CB755}">
    <text>Auction volumes + CCR volumes</text>
  </threadedComment>
  <threadedComment ref="B24" dT="2024-02-21T00:14:16.91" personId="{AD68B191-1132-4C8A-9441-230789D0C4E8}" id="{BE53CD0D-3203-48E2-944C-39152B171A57}">
    <text>Units available by auction + industrial free allocation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13" dT="2024-02-21T02:21:03.74" personId="{AD68B191-1132-4C8A-9441-230789D0C4E8}" id="{7931FB82-ABDE-4E0D-AB43-3BE7EB551100}">
    <text>Rounded to 0 decimal places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F1" dT="2025-04-03T02:53:17.54" personId="{6B0E6DC9-9742-446B-97E9-3A97D689BA68}" id="{56123047-9FBE-4C6C-8E45-794E3B3A54BB}">
    <text>2025 allocations/surrenders to date not included in surplus calculations</text>
  </threadedComment>
  <threadedComment ref="A9" dT="2025-04-03T02:53:27.56" personId="{6B0E6DC9-9742-446B-97E9-3A97D689BA68}" id="{588315F5-6A10-415A-8620-5B2E65C59E5C}">
    <text>20% non-harvest, 65% additional safe carbon</text>
  </threadedComment>
  <threadedComment ref="A26" dT="2025-04-03T02:53:37.28" personId="{6B0E6DC9-9742-446B-97E9-3A97D689BA68}" id="{D1D90A88-42E9-4697-AC68-0B3BEF55D01F}">
    <text>10% non-harvest, 55% safe carbon</text>
  </threadedComment>
  <threadedComment ref="A44" dT="2025-04-03T02:53:46.66" personId="{6B0E6DC9-9742-446B-97E9-3A97D689BA68}" id="{C4FBA301-2145-4936-A91C-CC78B9858025}">
    <text>30% non-harvest, 75% additional safe carbon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E21" dT="2025-04-03T02:56:12.54" personId="{6B0E6DC9-9742-446B-97E9-3A97D689BA68}" id="{FABB7A47-8559-43B4-8ACF-26A313D6A7A4}">
    <text>2051-2055 all example data based on previous trends used only to indicate the 2050 hedging volumes</text>
  </threadedComment>
  <threadedComment ref="B53" dT="2025-04-03T02:56:39.19" personId="{6B0E6DC9-9742-446B-97E9-3A97D689BA68}" id="{86D6E054-0254-4DAA-B490-14BD1AA95FCC}">
    <text xml:space="preserve">Estimate of stationary energy industrial allocation supply that has direct emissions surrender obligations </text>
  </threadedComment>
  <threadedComment ref="C54" dT="2025-04-03T02:56:59.17" personId="{6B0E6DC9-9742-446B-97E9-3A97D689BA68}" id="{2D759316-E394-4BD5-89ED-10F3A4ABC280}">
    <text>Allocations from: Iron &amp; Steel, Aluminium and Cement &amp; Lime</text>
  </threadedComment>
  <threadedComment ref="AE56" dT="2025-04-03T02:57:09.04" personId="{6B0E6DC9-9742-446B-97E9-3A97D689BA68}" id="{BA748CF5-14C4-4EEA-A2F8-27973E7A6105}">
    <text>No forecasts currently, have used % reduction trend from previous year as indication</text>
  </threadedComment>
  <threadedComment ref="A59" dT="2024-02-21T02:17:32.47" personId="{AD68B191-1132-4C8A-9441-230789D0C4E8}" id="{5F935842-6757-41AA-A4A8-0371D62B6F04}">
    <text xml:space="preserve">Based on sector target emissions levels minus industrial free allocation forecasts to direct emitters and technical adjustments. 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1" dT="2025-04-03T02:57:34.97" personId="{6B0E6DC9-9742-446B-97E9-3A97D689BA68}" id="{6522402D-F55E-4887-8895-F340E75866BE}">
    <text>https://www.epa.govt.nz/industry-areas/emissions-trading-scheme/market-information/privately-held-units/</text>
    <extLst>
      <x:ext xmlns:xltc2="http://schemas.microsoft.com/office/spreadsheetml/2020/threadedcomments2" uri="{F7C98A9C-CBB3-438F-8F68-D28B6AF4A901}">
        <xltc2:checksum>477074627</xltc2:checksum>
        <xltc2:hyperlink startIndex="0" length="104" url="https://www.epa.govt.nz/industry-areas/emissions-trading-scheme/market-information/privately-held-units/"/>
      </x:ext>
    </extLst>
  </threadedComment>
  <threadedComment ref="F2" dT="2025-04-03T02:57:48.64" personId="{6B0E6DC9-9742-446B-97E9-3A97D689BA68}" id="{7262DD7C-4877-46E2-A773-29C682193431}">
    <text>Includes industrial allocation</text>
  </threadedComment>
  <threadedComment ref="K2" dT="2025-04-03T02:58:02.04" personId="{6B0E6DC9-9742-446B-97E9-3A97D689BA68}" id="{7138214B-6D20-4260-936C-1BB6090AF80B}">
    <text>Post-1989 forestry entitlement</text>
  </threadedComment>
  <threadedComment ref="L2" dT="2025-04-03T02:58:15.87" personId="{6B0E6DC9-9742-446B-97E9-3A97D689BA68}" id="{12BD56FB-936B-4187-9924-D93DC0861705}">
    <text>Other removal activities</text>
  </threadedComment>
  <threadedComment ref="G12" dT="2025-04-03T02:58:30.01" personId="{6B0E6DC9-9742-446B-97E9-3A97D689BA68}" id="{427DB6D6-4DAF-45B9-8282-158AE9637B0F}">
    <text xml:space="preserve">Used for previous Commission 2024 advice 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16" dT="2025-04-03T19:11:30.54" personId="{6B0E6DC9-9742-446B-97E9-3A97D689BA68}" id="{FC07D3A1-4327-4613-8A16-99416ACE4E5B}">
    <text>Taken from detailed results: 
5.A.1  Managed Waste Disposal Sites (KtCH4)</text>
  </threadedComment>
  <threadedComment ref="C21" dT="2025-04-03T03:14:22.32" personId="{6B0E6DC9-9742-446B-97E9-3A97D689BA68}" id="{63BB9776-8C9A-4711-A52B-1875A786DC68}">
    <text>Taken from alternative analysis on "other IPPU categories" from CRF inventory tables
(includes N2O from medical applications and other medical product use)</text>
  </threadedComment>
  <threadedComment ref="B24" dT="2025-04-03T03:13:21.69" personId="{6B0E6DC9-9742-446B-97E9-3A97D689BA68}" id="{E8B69901-D793-49B9-82A3-471B987D8910}">
    <text>Taken from ERP2 New Measures ENZ Detailed Results</text>
  </threadedComment>
  <threadedComment ref="C28" dT="2025-04-03T19:11:47.87" personId="{6B0E6DC9-9742-446B-97E9-3A97D689BA68}" id="{FAFFFC97-612C-4F3A-9E9D-316CF41BDC1F}">
    <text>Taken from detailed results
- PFCs, HFCs, SF6</text>
  </threadedComment>
  <threadedComment ref="B29" dT="2025-04-03T19:12:13.84" personId="{6B0E6DC9-9742-446B-97E9-3A97D689BA68}" id="{0381ECBB-61C4-4B70-9CB4-BFEFE576551B}">
    <text>Updated from 49% in 2024 advice based on updated analysis</text>
  </threadedComment>
  <threadedComment ref="C33" dT="2025-04-03T03:03:46.84" personId="{6B0E6DC9-9742-446B-97E9-3A97D689BA68}" id="{3E996355-EB4C-4159-AA46-62DA057312DD}">
    <text>Biomass breakdown not included in ERP2 - have taken estimate from ITN ENZ demonstration path (updated for methodological changes)</text>
  </threadedComment>
  <threadedComment ref="A35" dT="2025-04-03T19:13:13.52" personId="{6B0E6DC9-9742-446B-97E9-3A97D689BA68}" id="{C5131FB3-33F1-4A5B-B7B0-15B8E207BEC1}">
    <text>Taken directly from Commission forestry model - minor updates required to match with ERP2 sum forestry</text>
  </threadedComment>
  <threadedComment ref="A59" dT="2025-04-03T19:13:45.14" personId="{6B0E6DC9-9742-446B-97E9-3A97D689BA68}" id="{85CD43B2-364E-4F50-9C0D-38BF7768B8EA}">
    <text xml:space="preserve">ERP2 breakdown of LFF, gas &amp; coal non-energy breakdowns was not available. These estimates are based on our previous ENZ data.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slation.govt.nz/regulation/public/2020/0264/latest/LMS37656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ghgprotocol.org/sites/default/files/ghgp/Global-Warming-Potential-Values%20%28Feb%2016%202016%29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78B3-4C40-4690-B09D-81E7FA8DB216}">
  <dimension ref="A1:L10"/>
  <sheetViews>
    <sheetView workbookViewId="0">
      <selection activeCell="A3" sqref="A3"/>
    </sheetView>
  </sheetViews>
  <sheetFormatPr defaultRowHeight="15"/>
  <cols>
    <col min="1" max="1" width="27.140625" customWidth="1"/>
    <col min="2" max="2" width="26.42578125" customWidth="1"/>
  </cols>
  <sheetData>
    <row r="1" spans="1:12">
      <c r="A1" s="1" t="s">
        <v>0</v>
      </c>
      <c r="B1" s="1" t="s">
        <v>1</v>
      </c>
    </row>
    <row r="2" spans="1:12">
      <c r="A2" t="s">
        <v>2</v>
      </c>
      <c r="B2" t="s">
        <v>3</v>
      </c>
    </row>
    <row r="3" spans="1:12">
      <c r="A3" t="s">
        <v>4</v>
      </c>
      <c r="B3" t="s">
        <v>5</v>
      </c>
    </row>
    <row r="10" spans="1:12">
      <c r="L10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D548-232B-4710-93B6-988B027A2BC6}">
  <sheetPr>
    <tabColor theme="4"/>
  </sheetPr>
  <dimension ref="A8:K50"/>
  <sheetViews>
    <sheetView showGridLines="0" workbookViewId="0">
      <selection activeCell="C20" sqref="C20"/>
    </sheetView>
  </sheetViews>
  <sheetFormatPr defaultRowHeight="15"/>
  <cols>
    <col min="1" max="1" width="30" customWidth="1"/>
    <col min="2" max="2" width="15.28515625" customWidth="1"/>
    <col min="3" max="3" width="55.5703125" customWidth="1"/>
    <col min="4" max="4" width="22.140625" customWidth="1"/>
  </cols>
  <sheetData>
    <row r="8" spans="1:11" ht="18.75">
      <c r="A8" s="116" t="s">
        <v>6</v>
      </c>
    </row>
    <row r="9" spans="1:11">
      <c r="A9" s="1" t="s">
        <v>7</v>
      </c>
    </row>
    <row r="11" spans="1:11">
      <c r="A11" s="1" t="s">
        <v>8</v>
      </c>
      <c r="B11" s="1"/>
      <c r="C11" s="1" t="s">
        <v>9</v>
      </c>
      <c r="D11" s="1" t="s">
        <v>10</v>
      </c>
      <c r="K11" s="1"/>
    </row>
    <row r="12" spans="1:11">
      <c r="C12" s="48" t="s">
        <v>11</v>
      </c>
      <c r="D12" t="s">
        <v>12</v>
      </c>
    </row>
    <row r="13" spans="1:11">
      <c r="C13" s="117" t="s">
        <v>13</v>
      </c>
    </row>
    <row r="14" spans="1:11">
      <c r="C14" s="117" t="s">
        <v>14</v>
      </c>
    </row>
    <row r="15" spans="1:11">
      <c r="C15" s="117"/>
    </row>
    <row r="16" spans="1:11">
      <c r="A16" s="112" t="s">
        <v>15</v>
      </c>
      <c r="B16" s="114" t="s">
        <v>16</v>
      </c>
      <c r="C16" s="115" t="s">
        <v>17</v>
      </c>
      <c r="D16" t="s">
        <v>18</v>
      </c>
    </row>
    <row r="17" spans="1:4">
      <c r="A17" s="112"/>
      <c r="B17" s="114" t="s">
        <v>19</v>
      </c>
      <c r="C17" s="115" t="s">
        <v>20</v>
      </c>
      <c r="D17" t="s">
        <v>21</v>
      </c>
    </row>
    <row r="18" spans="1:4">
      <c r="A18" s="112"/>
      <c r="B18" s="567" t="s">
        <v>22</v>
      </c>
      <c r="C18" s="568" t="s">
        <v>23</v>
      </c>
      <c r="D18" s="324" t="s">
        <v>24</v>
      </c>
    </row>
    <row r="19" spans="1:4">
      <c r="A19" s="112"/>
      <c r="B19" s="114" t="s">
        <v>25</v>
      </c>
      <c r="C19" s="115" t="s">
        <v>26</v>
      </c>
      <c r="D19" t="s">
        <v>27</v>
      </c>
    </row>
    <row r="20" spans="1:4">
      <c r="A20" s="112"/>
      <c r="B20" s="114" t="s">
        <v>28</v>
      </c>
      <c r="C20" s="115" t="s">
        <v>29</v>
      </c>
      <c r="D20" t="s">
        <v>30</v>
      </c>
    </row>
    <row r="21" spans="1:4">
      <c r="A21" s="112"/>
      <c r="B21" s="114" t="s">
        <v>28</v>
      </c>
      <c r="C21" s="115" t="s">
        <v>31</v>
      </c>
      <c r="D21" t="s">
        <v>32</v>
      </c>
    </row>
    <row r="22" spans="1:4">
      <c r="A22" s="112"/>
      <c r="B22" s="114" t="s">
        <v>33</v>
      </c>
      <c r="C22" s="115" t="s">
        <v>34</v>
      </c>
      <c r="D22" t="s">
        <v>35</v>
      </c>
    </row>
    <row r="23" spans="1:4" s="324" customFormat="1">
      <c r="A23" s="566"/>
      <c r="B23" s="567" t="s">
        <v>36</v>
      </c>
      <c r="C23" s="568" t="s">
        <v>37</v>
      </c>
      <c r="D23" s="324" t="s">
        <v>38</v>
      </c>
    </row>
    <row r="24" spans="1:4">
      <c r="A24" s="112"/>
      <c r="B24" s="114" t="s">
        <v>39</v>
      </c>
      <c r="C24" s="115" t="s">
        <v>40</v>
      </c>
      <c r="D24" t="s">
        <v>41</v>
      </c>
    </row>
    <row r="25" spans="1:4">
      <c r="A25" s="112"/>
      <c r="B25" s="114"/>
      <c r="C25" s="115"/>
    </row>
    <row r="26" spans="1:4">
      <c r="A26" s="112" t="s">
        <v>42</v>
      </c>
      <c r="B26" s="114"/>
      <c r="C26" s="115" t="s">
        <v>43</v>
      </c>
      <c r="D26" t="s">
        <v>44</v>
      </c>
    </row>
    <row r="27" spans="1:4">
      <c r="C27" s="117"/>
    </row>
    <row r="28" spans="1:4">
      <c r="A28" s="112" t="s">
        <v>45</v>
      </c>
      <c r="C28" s="117"/>
    </row>
    <row r="29" spans="1:4">
      <c r="A29" s="112"/>
      <c r="C29" s="117" t="s">
        <v>46</v>
      </c>
      <c r="D29" t="s">
        <v>47</v>
      </c>
    </row>
    <row r="30" spans="1:4">
      <c r="A30" s="112"/>
      <c r="B30" s="114"/>
      <c r="C30" s="115" t="s">
        <v>48</v>
      </c>
      <c r="D30" t="s">
        <v>49</v>
      </c>
    </row>
    <row r="31" spans="1:4">
      <c r="A31" s="112"/>
      <c r="B31" s="114"/>
      <c r="C31" s="115" t="s">
        <v>50</v>
      </c>
      <c r="D31" t="s">
        <v>51</v>
      </c>
    </row>
    <row r="32" spans="1:4" ht="15.75">
      <c r="A32" s="112"/>
      <c r="B32" s="114"/>
      <c r="C32" s="115" t="s">
        <v>52</v>
      </c>
      <c r="D32" s="569" t="s">
        <v>53</v>
      </c>
    </row>
    <row r="33" spans="1:4">
      <c r="A33" s="112"/>
      <c r="B33" s="114"/>
      <c r="C33" s="115" t="s">
        <v>54</v>
      </c>
      <c r="D33" t="s">
        <v>55</v>
      </c>
    </row>
    <row r="34" spans="1:4">
      <c r="A34" s="112"/>
      <c r="C34" s="117" t="s">
        <v>56</v>
      </c>
      <c r="D34" t="s">
        <v>57</v>
      </c>
    </row>
    <row r="35" spans="1:4">
      <c r="A35" s="112"/>
      <c r="B35" s="114"/>
      <c r="C35" s="115" t="s">
        <v>58</v>
      </c>
      <c r="D35" t="s">
        <v>59</v>
      </c>
    </row>
    <row r="36" spans="1:4">
      <c r="A36" s="119"/>
      <c r="C36" s="115" t="s">
        <v>60</v>
      </c>
      <c r="D36" t="s">
        <v>61</v>
      </c>
    </row>
    <row r="37" spans="1:4">
      <c r="A37" s="112"/>
      <c r="B37" s="114"/>
      <c r="C37" s="115" t="s">
        <v>62</v>
      </c>
      <c r="D37" t="s">
        <v>63</v>
      </c>
    </row>
    <row r="38" spans="1:4">
      <c r="A38" s="119"/>
      <c r="C38" s="118"/>
    </row>
    <row r="39" spans="1:4">
      <c r="A39" s="119"/>
      <c r="C39" s="118"/>
    </row>
    <row r="40" spans="1:4">
      <c r="B40" s="114"/>
    </row>
    <row r="41" spans="1:4">
      <c r="A41" s="119"/>
      <c r="C41" s="118"/>
    </row>
    <row r="42" spans="1:4">
      <c r="A42" s="383"/>
      <c r="C42" s="118"/>
    </row>
    <row r="43" spans="1:4">
      <c r="C43" s="117"/>
    </row>
    <row r="44" spans="1:4">
      <c r="C44" s="117"/>
    </row>
    <row r="45" spans="1:4">
      <c r="A45" s="121"/>
    </row>
    <row r="46" spans="1:4">
      <c r="C46" s="120"/>
    </row>
    <row r="47" spans="1:4">
      <c r="A47" s="112"/>
    </row>
    <row r="48" spans="1:4">
      <c r="A48" s="112"/>
      <c r="D48" s="2"/>
    </row>
    <row r="49" spans="1:4">
      <c r="A49" s="112"/>
      <c r="D49" s="2"/>
    </row>
    <row r="50" spans="1:4">
      <c r="C50" s="118"/>
      <c r="D50" s="2"/>
    </row>
  </sheetData>
  <hyperlinks>
    <hyperlink ref="C16" location="'1. Align with reduction targets'!A1" display="Align with emissions reduction targets" xr:uid="{CD9773DD-6A1B-49C7-A7D4-4B2654D2F7F4}"/>
    <hyperlink ref="C17" location="'2. NZ ETS cap'!A1" display="Allocate volume to NZ ETS and sectors outside the NZ ETS" xr:uid="{88BFED8F-BF70-4497-A829-4AF14510A327}"/>
    <hyperlink ref="C19" location="'4. Industrial free allocation'!A1" display="Accounting for industrial free allocation" xr:uid="{F03C5A4D-7511-4E01-9AE7-5B563F6A29CC}"/>
    <hyperlink ref="C22" location="'5b. Discrepancy adjustment'!A1" display="Surplus discrepancy adjustment" xr:uid="{1B62394D-4033-4D05-B08B-7032FF8C4DA3}"/>
    <hyperlink ref="C24" location="'7. Calculate auction volumes'!A1" display="Final auction volumes" xr:uid="{BD9F488F-0F2B-405D-BB3C-61FDBD588CA2}"/>
    <hyperlink ref="C30" location="'P90 units held long-term'!A1" display="P90 units held long-term" xr:uid="{77BFD429-593E-4C81-8319-2C691EC8DC80}"/>
    <hyperlink ref="C33" location="'Hedging by emitters'!A1" display="Units held for hedging" xr:uid="{FFE197BB-F0D5-41A8-A0E2-CC4F8D675FD3}"/>
    <hyperlink ref="C35" location="'ERP2 summary'!A1" display="Emissions reduction plan (ERP) Summary results" xr:uid="{CDB58AEC-CDF6-43BA-B33B-F098B8CFA45B}"/>
    <hyperlink ref="C37" location="'ERP2 New measures - detailed'!A1" display="ERP detailed results" xr:uid="{FB09B5A2-7F35-403B-8F93-704FAEF11AE4}"/>
    <hyperlink ref="C31" location="'P89 units held for harvest'!A1" display="Units held for P89 forest harvest" xr:uid="{98556966-1068-405D-BF2A-C36BE3C3D1CE}"/>
    <hyperlink ref="C20" location="'5a. Total surplus estimate'!A1" display="Base unit surplus estimate" xr:uid="{6F99A1DB-93DB-49F6-8733-46F8E4382B57}"/>
    <hyperlink ref="C21" location="'5a. Surplus reduction volumes'!A1" display="Annual unit surplus reduction volumes" xr:uid="{1B9C353D-82D3-43D5-932D-622E86C1424C}"/>
    <hyperlink ref="C34" location="'Total unit holdings'!A1" display="Stockpile volume and allocations" xr:uid="{353144BF-EB09-44AF-BA08-99DF16BF2D80}"/>
    <hyperlink ref="C12" location="'Current NZ ETS settings'!A1" display="Current NZ ETS settings" xr:uid="{8A15024B-1250-48CA-B436-FF9A6D04A713}"/>
    <hyperlink ref="C13" location="'Main report tables &amp; graphs'!A1" display="Report Tables and Graphs" xr:uid="{31814422-615A-416E-B735-849AA07DF09A}"/>
    <hyperlink ref="C14" location="'Tech annex 1 tables &amp; graphs'!A1" display="Technical Annex 1 Tables and Graph" xr:uid="{E9F5A45F-6458-4F9D-9595-A445B2BBE162}"/>
    <hyperlink ref="C32" location="'P89 MERP4 additional surplus'!A1" display="Additional MERP4 surplus units" xr:uid="{A0C704AC-412D-435C-B5A5-EA76CF6ECF50}"/>
    <hyperlink ref="C36" location="'ETS vs. non-ETS forestry'!A1" display="Forestry inside vs. outside NZ ETS" xr:uid="{6CA5FF70-DCC2-48DA-AF70-5E7644A4D0AB}"/>
    <hyperlink ref="C26" location="PCS" display="Price control settings" xr:uid="{0E12B802-E58B-4C59-8DD5-9300EBD273CC}"/>
    <hyperlink ref="C29" location="'Technical adjustment review'!A1" display="Technical adjustments review" xr:uid="{E4ED523B-D166-473A-9273-B536465F7FB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8468-3679-4A5C-8FF0-E8AEF13E792F}">
  <sheetPr>
    <tabColor theme="6" tint="0.59999389629810485"/>
  </sheetPr>
  <dimension ref="A1:U41"/>
  <sheetViews>
    <sheetView zoomScale="85" zoomScaleNormal="85" workbookViewId="0">
      <selection activeCell="H39" sqref="H39"/>
    </sheetView>
  </sheetViews>
  <sheetFormatPr defaultRowHeight="15"/>
  <cols>
    <col min="1" max="1" width="40.85546875" customWidth="1"/>
    <col min="2" max="6" width="12.85546875" customWidth="1"/>
    <col min="7" max="7" width="12.5703125" customWidth="1"/>
    <col min="8" max="8" width="13.85546875" customWidth="1"/>
    <col min="9" max="9" width="12.7109375" customWidth="1"/>
    <col min="10" max="10" width="11.7109375" customWidth="1"/>
    <col min="11" max="11" width="10.140625" customWidth="1"/>
    <col min="15" max="15" width="8.85546875" customWidth="1"/>
    <col min="18" max="18" width="16.85546875" customWidth="1"/>
  </cols>
  <sheetData>
    <row r="1" spans="1:21" s="221" customFormat="1">
      <c r="A1" s="220" t="s">
        <v>64</v>
      </c>
    </row>
    <row r="2" spans="1:21">
      <c r="A2" s="1"/>
    </row>
    <row r="3" spans="1:21">
      <c r="A3" t="s">
        <v>65</v>
      </c>
      <c r="B3" s="219" t="s">
        <v>66</v>
      </c>
      <c r="C3" s="218"/>
      <c r="D3" s="158" t="s">
        <v>67</v>
      </c>
      <c r="E3" s="158"/>
      <c r="F3" s="158"/>
      <c r="G3" s="158"/>
      <c r="H3" s="158"/>
      <c r="I3" s="213" t="s">
        <v>68</v>
      </c>
      <c r="J3" s="146"/>
      <c r="K3" s="146"/>
      <c r="L3" s="146"/>
      <c r="M3" s="146"/>
      <c r="N3" s="146"/>
      <c r="R3" s="194" t="s">
        <v>69</v>
      </c>
    </row>
    <row r="4" spans="1:21">
      <c r="B4" s="214">
        <v>2023</v>
      </c>
      <c r="C4" s="214">
        <v>2024</v>
      </c>
      <c r="D4" s="215">
        <v>2025</v>
      </c>
      <c r="E4" s="215">
        <v>2026</v>
      </c>
      <c r="F4" s="216">
        <v>2027</v>
      </c>
      <c r="G4" s="216">
        <v>2028</v>
      </c>
      <c r="H4" s="158">
        <v>2029</v>
      </c>
      <c r="I4" s="217">
        <v>2030</v>
      </c>
      <c r="J4" s="148">
        <v>2031</v>
      </c>
      <c r="K4" s="217">
        <v>2032</v>
      </c>
      <c r="L4" s="148">
        <v>2033</v>
      </c>
      <c r="M4" s="217">
        <v>2034</v>
      </c>
      <c r="N4" s="148">
        <v>2035</v>
      </c>
      <c r="R4" s="196" t="s">
        <v>70</v>
      </c>
    </row>
    <row r="5" spans="1:21">
      <c r="A5" t="s">
        <v>71</v>
      </c>
      <c r="B5" s="207">
        <v>73.599999999999994</v>
      </c>
      <c r="C5" s="207">
        <v>72.099999999999994</v>
      </c>
      <c r="D5" s="205">
        <v>68.5</v>
      </c>
      <c r="E5" s="205">
        <v>65.7</v>
      </c>
      <c r="F5" s="205">
        <v>63.4</v>
      </c>
      <c r="G5" s="205">
        <v>61</v>
      </c>
      <c r="H5" s="205">
        <v>58.6</v>
      </c>
      <c r="I5" s="208">
        <v>55.3</v>
      </c>
      <c r="J5" s="208">
        <v>52.7</v>
      </c>
      <c r="K5" s="208">
        <v>50.1</v>
      </c>
      <c r="L5" s="208">
        <v>47.6</v>
      </c>
      <c r="M5" s="208">
        <v>45.3</v>
      </c>
      <c r="N5" s="208">
        <v>43</v>
      </c>
      <c r="O5" s="7"/>
      <c r="P5" s="7"/>
      <c r="Q5" s="7"/>
      <c r="R5" s="197" t="s">
        <v>72</v>
      </c>
      <c r="S5" s="7"/>
      <c r="T5" s="7"/>
      <c r="U5" s="7"/>
    </row>
    <row r="6" spans="1:21">
      <c r="A6" t="s">
        <v>73</v>
      </c>
      <c r="B6" s="207">
        <v>42.9</v>
      </c>
      <c r="C6" s="207">
        <v>42.7</v>
      </c>
      <c r="D6" s="205">
        <v>42.9</v>
      </c>
      <c r="E6" s="205">
        <v>42.3</v>
      </c>
      <c r="F6" s="205">
        <v>41.9</v>
      </c>
      <c r="G6" s="205">
        <v>41.6</v>
      </c>
      <c r="H6" s="205">
        <v>41.2</v>
      </c>
      <c r="I6" s="208">
        <v>40.799999999999997</v>
      </c>
      <c r="J6" s="208">
        <v>40.5</v>
      </c>
      <c r="K6" s="208">
        <v>40.299999999999997</v>
      </c>
      <c r="L6" s="208">
        <v>40.200000000000003</v>
      </c>
      <c r="M6" s="208">
        <v>39.9</v>
      </c>
      <c r="N6" s="208">
        <v>39.4</v>
      </c>
      <c r="O6" s="7"/>
      <c r="P6" s="7"/>
      <c r="Q6" s="7"/>
      <c r="R6" s="222" t="s">
        <v>74</v>
      </c>
    </row>
    <row r="7" spans="1:21">
      <c r="A7" s="1" t="s">
        <v>75</v>
      </c>
      <c r="B7" s="207">
        <f>((B5-B6))</f>
        <v>30.699999999999996</v>
      </c>
      <c r="C7" s="207">
        <f>((C5-C6))</f>
        <v>29.399999999999991</v>
      </c>
      <c r="D7" s="205">
        <v>25.6</v>
      </c>
      <c r="E7" s="205">
        <v>23.4</v>
      </c>
      <c r="F7" s="205">
        <v>21.4</v>
      </c>
      <c r="G7" s="205">
        <v>19.399999999999999</v>
      </c>
      <c r="H7" s="205">
        <v>17.399999999999999</v>
      </c>
      <c r="I7" s="208">
        <v>14.5</v>
      </c>
      <c r="J7" s="208">
        <v>12.2</v>
      </c>
      <c r="K7" s="208">
        <v>9.8000000000000007</v>
      </c>
      <c r="L7" s="208">
        <v>7.4</v>
      </c>
      <c r="M7" s="208">
        <v>5.4</v>
      </c>
      <c r="N7" s="208">
        <v>3.6</v>
      </c>
      <c r="P7" s="7"/>
    </row>
    <row r="8" spans="1:21">
      <c r="A8" t="s">
        <v>76</v>
      </c>
      <c r="B8" s="207">
        <v>1.6</v>
      </c>
      <c r="C8" s="207">
        <v>1.4</v>
      </c>
      <c r="D8" s="205">
        <v>0.8</v>
      </c>
      <c r="E8" s="205">
        <v>0.7</v>
      </c>
      <c r="F8" s="205">
        <v>0.7</v>
      </c>
      <c r="G8" s="205">
        <v>0.7</v>
      </c>
      <c r="H8" s="205">
        <v>0.7</v>
      </c>
      <c r="I8" s="208">
        <v>0.6</v>
      </c>
      <c r="J8" s="208">
        <v>0.6</v>
      </c>
      <c r="K8" s="208">
        <v>0.6</v>
      </c>
      <c r="L8" s="208">
        <v>0.6</v>
      </c>
      <c r="M8" s="208">
        <v>0.5</v>
      </c>
      <c r="N8" s="208">
        <v>0.5</v>
      </c>
      <c r="O8" s="7"/>
      <c r="P8" s="7"/>
      <c r="Q8" s="7"/>
      <c r="R8" s="7"/>
    </row>
    <row r="9" spans="1:21">
      <c r="A9" t="s">
        <v>77</v>
      </c>
      <c r="B9" s="207">
        <v>6.2</v>
      </c>
      <c r="C9" s="207">
        <v>6.1</v>
      </c>
      <c r="D9" s="206">
        <v>6</v>
      </c>
      <c r="E9" s="206">
        <v>5.7</v>
      </c>
      <c r="F9" s="206">
        <v>5.7</v>
      </c>
      <c r="G9" s="206">
        <v>5.6</v>
      </c>
      <c r="H9" s="206">
        <v>5.5</v>
      </c>
      <c r="I9" s="209">
        <v>5.0999999999999996</v>
      </c>
      <c r="J9" s="209">
        <v>4.9000000000000004</v>
      </c>
      <c r="K9" s="209">
        <v>4.8</v>
      </c>
      <c r="L9" s="209">
        <v>4.7</v>
      </c>
      <c r="M9" s="209">
        <v>4.5</v>
      </c>
      <c r="N9" s="209">
        <v>4.4000000000000004</v>
      </c>
      <c r="O9" s="7"/>
      <c r="P9" s="7"/>
      <c r="Q9" s="7"/>
      <c r="R9" s="7"/>
    </row>
    <row r="10" spans="1:21">
      <c r="A10" t="s">
        <v>78</v>
      </c>
      <c r="B10" s="207">
        <v>8</v>
      </c>
      <c r="C10" s="207">
        <v>7.7</v>
      </c>
      <c r="D10" s="205">
        <v>12.5</v>
      </c>
      <c r="E10" s="205">
        <v>11.5</v>
      </c>
      <c r="F10" s="205">
        <v>10.5</v>
      </c>
      <c r="G10" s="205">
        <v>9.5</v>
      </c>
      <c r="H10" s="205">
        <v>8.5</v>
      </c>
      <c r="I10" s="208">
        <v>7.1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7"/>
      <c r="P10" s="7"/>
      <c r="Q10" s="7"/>
      <c r="R10" s="7"/>
    </row>
    <row r="11" spans="1:21">
      <c r="A11" t="s">
        <v>79</v>
      </c>
      <c r="B11" s="207">
        <v>0</v>
      </c>
      <c r="C11" s="207">
        <v>0</v>
      </c>
      <c r="D11" s="205">
        <v>0.3</v>
      </c>
      <c r="E11" s="205">
        <v>0.3</v>
      </c>
      <c r="F11" s="205">
        <v>0.3</v>
      </c>
      <c r="G11" s="205">
        <v>0.3</v>
      </c>
      <c r="H11" s="205">
        <v>0.2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7"/>
      <c r="P11" s="7"/>
      <c r="Q11" s="7"/>
      <c r="R11" s="7"/>
    </row>
    <row r="12" spans="1:21">
      <c r="A12" t="s">
        <v>80</v>
      </c>
      <c r="B12" s="207">
        <v>0</v>
      </c>
      <c r="C12" s="207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7"/>
      <c r="P12" s="7"/>
      <c r="Q12" s="7"/>
      <c r="R12" s="7"/>
    </row>
    <row r="13" spans="1:21">
      <c r="A13" t="s">
        <v>81</v>
      </c>
      <c r="B13" s="207">
        <f>(ROUND((B7-B8-B9-B10-B11),1))</f>
        <v>14.9</v>
      </c>
      <c r="C13" s="207">
        <f>(ROUND((C7-C8-C9-C10-C11),1))</f>
        <v>14.2</v>
      </c>
      <c r="D13" s="206">
        <f>(D7-D8-D9-D10-D11)</f>
        <v>6.0000000000000009</v>
      </c>
      <c r="E13" s="206">
        <f t="shared" ref="E13:M13" si="0">(E7-E8-E9-E10-E11)</f>
        <v>5.2</v>
      </c>
      <c r="F13" s="206">
        <v>4.3</v>
      </c>
      <c r="G13" s="206">
        <f t="shared" si="0"/>
        <v>3.3</v>
      </c>
      <c r="H13" s="206">
        <v>2.4</v>
      </c>
      <c r="I13" s="209">
        <f t="shared" si="0"/>
        <v>1.7000000000000011</v>
      </c>
      <c r="J13" s="209">
        <f t="shared" si="0"/>
        <v>6.6999999999999993</v>
      </c>
      <c r="K13" s="209">
        <f t="shared" si="0"/>
        <v>4.4000000000000012</v>
      </c>
      <c r="L13" s="209">
        <f t="shared" si="0"/>
        <v>2.1000000000000005</v>
      </c>
      <c r="M13" s="209">
        <f t="shared" si="0"/>
        <v>0.40000000000000036</v>
      </c>
      <c r="N13" s="209">
        <f>(N7-N8-N9-N10-N11)</f>
        <v>-1.3000000000000003</v>
      </c>
      <c r="P13" s="7"/>
    </row>
    <row r="14" spans="1:21">
      <c r="B14" s="207">
        <v>0</v>
      </c>
      <c r="C14" s="207">
        <v>0</v>
      </c>
      <c r="I14" s="211"/>
      <c r="J14" s="211"/>
      <c r="K14" s="211"/>
      <c r="L14" s="211"/>
      <c r="M14" s="211"/>
      <c r="N14" s="211"/>
    </row>
    <row r="15" spans="1:21">
      <c r="A15" t="s">
        <v>82</v>
      </c>
      <c r="B15" s="207">
        <v>8</v>
      </c>
      <c r="C15" s="207">
        <v>2.8</v>
      </c>
      <c r="D15" s="206">
        <v>2.6</v>
      </c>
      <c r="E15" s="206">
        <v>2.2999999999999998</v>
      </c>
      <c r="F15" s="206">
        <v>2.1</v>
      </c>
      <c r="G15" s="206">
        <v>1.9</v>
      </c>
      <c r="H15" s="206">
        <v>1.7</v>
      </c>
      <c r="I15" s="209">
        <v>1.4</v>
      </c>
      <c r="J15" s="209">
        <v>1.2</v>
      </c>
      <c r="K15" s="209">
        <v>1</v>
      </c>
      <c r="L15" s="209">
        <v>0.8</v>
      </c>
      <c r="M15" s="209">
        <v>0.60000000000000009</v>
      </c>
      <c r="N15" s="209">
        <v>0.40000000000000008</v>
      </c>
      <c r="O15" s="7"/>
      <c r="P15" s="7"/>
      <c r="Q15" s="7"/>
      <c r="R15" s="7"/>
    </row>
    <row r="16" spans="1:21">
      <c r="A16" t="s">
        <v>83</v>
      </c>
      <c r="B16" s="207">
        <v>0</v>
      </c>
      <c r="C16" s="207">
        <v>4.9000000000000004</v>
      </c>
      <c r="D16" s="206">
        <v>4.5</v>
      </c>
      <c r="E16" s="206">
        <v>4.2</v>
      </c>
      <c r="F16" s="206">
        <v>3.8</v>
      </c>
      <c r="G16" s="206">
        <v>3.4</v>
      </c>
      <c r="H16" s="206">
        <v>3</v>
      </c>
      <c r="I16" s="209">
        <v>2.5</v>
      </c>
      <c r="J16" s="209">
        <v>2.2999999999999998</v>
      </c>
      <c r="K16" s="209">
        <v>2.0999999999999996</v>
      </c>
      <c r="L16" s="209">
        <v>1.8999999999999997</v>
      </c>
      <c r="M16" s="209">
        <v>1.6999999999999997</v>
      </c>
      <c r="N16" s="209">
        <v>1.4999999999999998</v>
      </c>
      <c r="O16" s="7"/>
      <c r="P16" s="7"/>
      <c r="Q16" s="7"/>
      <c r="R16" s="7"/>
    </row>
    <row r="17" spans="1:18">
      <c r="A17" t="s">
        <v>84</v>
      </c>
      <c r="B17" s="207">
        <f>(ROUND((B15+B16),1))</f>
        <v>8</v>
      </c>
      <c r="C17" s="207">
        <f>(ROUND((C15+C16),1))</f>
        <v>7.7</v>
      </c>
      <c r="D17" s="206">
        <f t="shared" ref="D17:N17" si="1">(ROUND((D15+D16),1))</f>
        <v>7.1</v>
      </c>
      <c r="E17" s="206">
        <f t="shared" si="1"/>
        <v>6.5</v>
      </c>
      <c r="F17" s="206">
        <f t="shared" si="1"/>
        <v>5.9</v>
      </c>
      <c r="G17" s="206">
        <f t="shared" si="1"/>
        <v>5.3</v>
      </c>
      <c r="H17" s="206">
        <f t="shared" si="1"/>
        <v>4.7</v>
      </c>
      <c r="I17" s="209">
        <f t="shared" si="1"/>
        <v>3.9</v>
      </c>
      <c r="J17" s="209">
        <f t="shared" si="1"/>
        <v>3.5</v>
      </c>
      <c r="K17" s="209">
        <f t="shared" si="1"/>
        <v>3.1</v>
      </c>
      <c r="L17" s="209">
        <f t="shared" si="1"/>
        <v>2.7</v>
      </c>
      <c r="M17" s="209">
        <f t="shared" si="1"/>
        <v>2.2999999999999998</v>
      </c>
      <c r="N17" s="209">
        <f t="shared" si="1"/>
        <v>1.9</v>
      </c>
      <c r="O17" s="7"/>
      <c r="P17" s="7"/>
      <c r="Q17" s="7"/>
      <c r="R17" s="7"/>
    </row>
    <row r="18" spans="1:18">
      <c r="B18" s="329"/>
      <c r="C18" s="329"/>
      <c r="I18" s="330"/>
      <c r="J18" s="330"/>
      <c r="K18" s="330"/>
      <c r="L18" s="330"/>
      <c r="M18" s="330"/>
      <c r="N18" s="330"/>
      <c r="O18" s="7"/>
      <c r="P18" s="7"/>
      <c r="Q18" s="7"/>
      <c r="R18" s="7"/>
    </row>
    <row r="19" spans="1:18">
      <c r="A19" t="s">
        <v>85</v>
      </c>
      <c r="B19" s="207">
        <f>B13+B17</f>
        <v>22.9</v>
      </c>
      <c r="C19" s="207">
        <f>C13+C17</f>
        <v>21.9</v>
      </c>
      <c r="D19" s="206">
        <f t="shared" ref="D19:G19" si="2">D13+D17</f>
        <v>13.100000000000001</v>
      </c>
      <c r="E19" s="206">
        <f t="shared" si="2"/>
        <v>11.7</v>
      </c>
      <c r="F19" s="206">
        <f t="shared" si="2"/>
        <v>10.199999999999999</v>
      </c>
      <c r="G19" s="206">
        <f t="shared" si="2"/>
        <v>8.6</v>
      </c>
      <c r="H19" s="206">
        <f t="shared" ref="H19:N19" si="3">H13+H17</f>
        <v>7.1</v>
      </c>
      <c r="I19" s="209">
        <f t="shared" si="3"/>
        <v>5.6000000000000014</v>
      </c>
      <c r="J19" s="209">
        <f t="shared" si="3"/>
        <v>10.199999999999999</v>
      </c>
      <c r="K19" s="209">
        <f t="shared" si="3"/>
        <v>7.5000000000000018</v>
      </c>
      <c r="L19" s="209">
        <f t="shared" si="3"/>
        <v>4.8000000000000007</v>
      </c>
      <c r="M19" s="209">
        <f t="shared" si="3"/>
        <v>2.7</v>
      </c>
      <c r="N19" s="209">
        <f t="shared" si="3"/>
        <v>0.59999999999999964</v>
      </c>
    </row>
    <row r="20" spans="1:18">
      <c r="A20" t="s">
        <v>86</v>
      </c>
      <c r="B20" s="207">
        <f>B19+B9</f>
        <v>29.099999999999998</v>
      </c>
      <c r="C20" s="207">
        <f>C19+C9</f>
        <v>28</v>
      </c>
      <c r="D20" s="195">
        <f t="shared" ref="D20:H20" si="4">ROUND((D19+D9),1)</f>
        <v>19.100000000000001</v>
      </c>
      <c r="E20" s="195">
        <f t="shared" si="4"/>
        <v>17.399999999999999</v>
      </c>
      <c r="F20" s="195">
        <f t="shared" si="4"/>
        <v>15.9</v>
      </c>
      <c r="G20" s="195">
        <f t="shared" si="4"/>
        <v>14.2</v>
      </c>
      <c r="H20" s="195">
        <f t="shared" si="4"/>
        <v>12.6</v>
      </c>
      <c r="I20" s="212">
        <f t="shared" ref="I20:N20" si="5">ROUND((I19+I9),1)</f>
        <v>10.7</v>
      </c>
      <c r="J20" s="212">
        <f t="shared" si="5"/>
        <v>15.1</v>
      </c>
      <c r="K20" s="212">
        <f t="shared" si="5"/>
        <v>12.3</v>
      </c>
      <c r="L20" s="212">
        <f t="shared" si="5"/>
        <v>9.5</v>
      </c>
      <c r="M20" s="212">
        <f t="shared" si="5"/>
        <v>7.2</v>
      </c>
      <c r="N20" s="212">
        <f t="shared" si="5"/>
        <v>5</v>
      </c>
    </row>
    <row r="21" spans="1:18">
      <c r="I21" s="113"/>
      <c r="J21" s="113"/>
      <c r="K21" s="113"/>
      <c r="L21" s="113"/>
      <c r="M21" s="113"/>
      <c r="N21" s="113"/>
    </row>
    <row r="22" spans="1:18">
      <c r="I22" s="113"/>
      <c r="J22" s="113"/>
      <c r="K22" s="113"/>
      <c r="L22" s="113"/>
      <c r="M22" s="113"/>
      <c r="N22" s="113"/>
    </row>
    <row r="23" spans="1:18">
      <c r="A23" t="s">
        <v>87</v>
      </c>
      <c r="B23" s="442">
        <v>60</v>
      </c>
      <c r="C23" s="442">
        <v>64</v>
      </c>
      <c r="D23" s="443">
        <v>68</v>
      </c>
      <c r="E23" s="443">
        <v>71</v>
      </c>
      <c r="F23" s="443">
        <v>75</v>
      </c>
      <c r="G23" s="443">
        <v>78</v>
      </c>
      <c r="H23" s="443">
        <v>82</v>
      </c>
      <c r="I23" s="444">
        <v>87</v>
      </c>
      <c r="J23" s="445"/>
      <c r="K23" s="445"/>
      <c r="L23" s="445"/>
      <c r="M23" s="445"/>
      <c r="N23" s="445"/>
    </row>
    <row r="24" spans="1:18">
      <c r="A24" t="s">
        <v>88</v>
      </c>
      <c r="B24" s="442">
        <v>173</v>
      </c>
      <c r="C24" s="442">
        <v>184</v>
      </c>
      <c r="D24" s="443">
        <v>193</v>
      </c>
      <c r="E24" s="443">
        <v>203</v>
      </c>
      <c r="F24" s="443">
        <v>213</v>
      </c>
      <c r="G24" s="443">
        <v>224</v>
      </c>
      <c r="H24" s="443">
        <v>235</v>
      </c>
      <c r="I24" s="444">
        <v>247</v>
      </c>
      <c r="J24" s="445"/>
      <c r="K24" s="445"/>
      <c r="L24" s="445"/>
      <c r="M24" s="445"/>
      <c r="N24" s="445"/>
    </row>
    <row r="25" spans="1:18">
      <c r="A25" t="s">
        <v>89</v>
      </c>
      <c r="B25" s="442">
        <v>216</v>
      </c>
      <c r="C25" s="442">
        <v>230</v>
      </c>
      <c r="D25" s="443">
        <v>242</v>
      </c>
      <c r="E25" s="443">
        <v>254</v>
      </c>
      <c r="F25" s="443">
        <v>267</v>
      </c>
      <c r="G25" s="443">
        <v>280</v>
      </c>
      <c r="H25" s="443">
        <v>294</v>
      </c>
      <c r="I25" s="444">
        <v>309</v>
      </c>
      <c r="J25" s="445"/>
      <c r="K25" s="445"/>
      <c r="L25" s="445"/>
      <c r="M25" s="445"/>
      <c r="N25" s="445"/>
    </row>
    <row r="27" spans="1:18">
      <c r="A27" s="48" t="s">
        <v>90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8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8" s="348" customFormat="1">
      <c r="A29" s="347" t="s">
        <v>91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8">
      <c r="A30" s="1"/>
      <c r="B30" s="1" t="s">
        <v>92</v>
      </c>
      <c r="C30" s="1" t="s">
        <v>93</v>
      </c>
      <c r="D30" s="350" t="s">
        <v>94</v>
      </c>
      <c r="E30" s="350" t="s">
        <v>95</v>
      </c>
      <c r="F30" s="350" t="s">
        <v>96</v>
      </c>
      <c r="G30" s="9"/>
      <c r="H30" s="9"/>
      <c r="I30" s="9"/>
      <c r="J30" s="9"/>
      <c r="K30" s="9"/>
      <c r="L30" s="9"/>
      <c r="M30" s="9"/>
      <c r="N30" s="9"/>
    </row>
    <row r="31" spans="1:18">
      <c r="A31" t="s">
        <v>97</v>
      </c>
      <c r="B31" s="125">
        <v>3.53</v>
      </c>
      <c r="C31" s="9">
        <v>4.08</v>
      </c>
      <c r="D31" s="9">
        <v>7.6</v>
      </c>
      <c r="E31" s="9">
        <v>11.13</v>
      </c>
      <c r="F31" s="350">
        <f>SUM(B31*4)</f>
        <v>14.12</v>
      </c>
      <c r="G31" s="9"/>
      <c r="H31" s="9"/>
      <c r="I31" s="9"/>
      <c r="J31" s="9"/>
      <c r="K31" s="9"/>
      <c r="L31" s="9"/>
      <c r="M31" s="9"/>
      <c r="N31" s="9"/>
    </row>
    <row r="32" spans="1:18">
      <c r="A32" t="s">
        <v>98</v>
      </c>
      <c r="B32" s="125">
        <v>2.97</v>
      </c>
      <c r="C32" s="9">
        <v>0</v>
      </c>
      <c r="D32" s="9">
        <v>0</v>
      </c>
      <c r="E32" s="9">
        <v>4.03</v>
      </c>
      <c r="F32" s="350">
        <f>SUM(B32:E32)</f>
        <v>7</v>
      </c>
      <c r="G32" s="9"/>
      <c r="H32" s="9"/>
      <c r="I32" s="9"/>
      <c r="J32" s="9"/>
      <c r="K32" s="9"/>
      <c r="L32" s="9"/>
      <c r="M32" s="9"/>
      <c r="N32" s="9"/>
    </row>
    <row r="33" spans="1:8">
      <c r="A33" t="s">
        <v>99</v>
      </c>
      <c r="B33" s="125">
        <v>0.55000000000000004</v>
      </c>
      <c r="C33" s="9">
        <v>4.08</v>
      </c>
      <c r="D33" s="9">
        <v>7.6</v>
      </c>
      <c r="E33" s="9">
        <v>7.09</v>
      </c>
      <c r="F33" s="350">
        <f>E33</f>
        <v>7.09</v>
      </c>
      <c r="G33" s="9"/>
    </row>
    <row r="35" spans="1:8">
      <c r="A35" s="1"/>
    </row>
    <row r="36" spans="1:8">
      <c r="A36" s="544" t="s">
        <v>100</v>
      </c>
      <c r="B36" s="7"/>
      <c r="C36" s="7"/>
      <c r="D36" s="7"/>
      <c r="E36" s="7"/>
      <c r="F36" s="7"/>
    </row>
    <row r="37" spans="1:8">
      <c r="B37" s="7"/>
      <c r="C37" s="7"/>
      <c r="D37" s="7"/>
      <c r="E37" s="7"/>
      <c r="F37" s="7"/>
    </row>
    <row r="38" spans="1:8">
      <c r="B38" s="7"/>
      <c r="C38" s="7"/>
      <c r="D38" s="33"/>
      <c r="E38" s="33"/>
      <c r="F38" s="33"/>
      <c r="G38" s="33"/>
      <c r="H38" s="33"/>
    </row>
    <row r="41" spans="1:8">
      <c r="F41" s="9"/>
    </row>
  </sheetData>
  <hyperlinks>
    <hyperlink ref="A27" r:id="rId1" xr:uid="{9AB52E53-3DBB-4995-B055-A6B6787E3D55}"/>
  </hyperlinks>
  <pageMargins left="0.7" right="0.7" top="0.75" bottom="0.75" header="0.3" footer="0.3"/>
  <pageSetup paperSize="9" orientation="portrait" r:id="rId2"/>
  <headerFooter>
    <oddHeader>&amp;C&amp;"Calibri"&amp;9&amp;K000000 [IN-CONFIDENCE]&amp;1#_x000D_</oddHeader>
    <oddFooter>&amp;C_x000D_&amp;1#&amp;"Calibri"&amp;9&amp;K000000 [IN-CONFIDENCE]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1014-E28D-419D-A9B4-FCEE35A8C3E6}">
  <sheetPr>
    <tabColor theme="7" tint="0.79998168889431442"/>
  </sheetPr>
  <dimension ref="A1:G167"/>
  <sheetViews>
    <sheetView topLeftCell="A131" zoomScale="70" zoomScaleNormal="70" workbookViewId="0">
      <selection activeCell="P44" sqref="P44"/>
    </sheetView>
  </sheetViews>
  <sheetFormatPr defaultRowHeight="15"/>
  <cols>
    <col min="1" max="1" width="27.140625" style="12" customWidth="1"/>
    <col min="2" max="6" width="17.28515625" style="12" customWidth="1"/>
  </cols>
  <sheetData>
    <row r="1" spans="1:6">
      <c r="A1" s="1" t="s">
        <v>101</v>
      </c>
    </row>
    <row r="2" spans="1:6">
      <c r="A2"/>
    </row>
    <row r="3" spans="1:6">
      <c r="A3" s="12" t="s">
        <v>102</v>
      </c>
    </row>
    <row r="4" spans="1:6">
      <c r="A4" s="500"/>
      <c r="B4" s="500" t="s">
        <v>103</v>
      </c>
      <c r="C4" s="500"/>
      <c r="D4" s="500" t="s">
        <v>104</v>
      </c>
      <c r="E4" s="500"/>
      <c r="F4" s="500" t="s">
        <v>105</v>
      </c>
    </row>
    <row r="5" spans="1:6">
      <c r="A5" s="500" t="s">
        <v>106</v>
      </c>
      <c r="B5" s="500">
        <v>2026</v>
      </c>
      <c r="C5" s="500">
        <v>2027</v>
      </c>
      <c r="D5" s="500">
        <v>2028</v>
      </c>
      <c r="E5" s="500">
        <v>2029</v>
      </c>
      <c r="F5" s="500">
        <v>2030</v>
      </c>
    </row>
    <row r="6" spans="1:6" ht="15.75">
      <c r="A6" s="509" t="s">
        <v>107</v>
      </c>
      <c r="B6" s="510">
        <f>'7. Calculate auction volumes'!D13</f>
        <v>5.2</v>
      </c>
      <c r="C6" s="510">
        <f>'7. Calculate auction volumes'!E13</f>
        <v>4.3</v>
      </c>
      <c r="D6" s="510">
        <f ca="1">'7. Calculate auction volumes'!F13</f>
        <v>7</v>
      </c>
      <c r="E6" s="510">
        <f ca="1">'7. Calculate auction volumes'!G13</f>
        <v>7</v>
      </c>
      <c r="F6" s="510">
        <f ca="1">'7. Calculate auction volumes'!H13</f>
        <v>7</v>
      </c>
    </row>
    <row r="8" spans="1:6">
      <c r="A8" t="s">
        <v>108</v>
      </c>
    </row>
    <row r="9" spans="1:6">
      <c r="A9" s="254"/>
      <c r="B9" s="254" t="s">
        <v>103</v>
      </c>
      <c r="C9" s="254"/>
      <c r="D9" s="254" t="s">
        <v>109</v>
      </c>
      <c r="E9" s="254"/>
      <c r="F9" s="254" t="s">
        <v>105</v>
      </c>
    </row>
    <row r="10" spans="1:6">
      <c r="A10" s="499" t="s">
        <v>106</v>
      </c>
      <c r="B10" s="254">
        <v>2026</v>
      </c>
      <c r="C10" s="254">
        <v>2027</v>
      </c>
      <c r="D10" s="254">
        <v>2028</v>
      </c>
      <c r="E10" s="254">
        <v>2029</v>
      </c>
      <c r="F10" s="254">
        <v>2030</v>
      </c>
    </row>
    <row r="11" spans="1:6">
      <c r="A11" s="67" t="s">
        <v>110</v>
      </c>
      <c r="B11" s="67">
        <f>'7. Calculate auction volumes'!D22</f>
        <v>11.7</v>
      </c>
      <c r="C11" s="67">
        <f>'7. Calculate auction volumes'!E22</f>
        <v>10.199999999999999</v>
      </c>
      <c r="D11" s="67">
        <f ca="1">'7. Calculate auction volumes'!F22</f>
        <v>12.3</v>
      </c>
      <c r="E11" s="67">
        <f ca="1">'7. Calculate auction volumes'!G22</f>
        <v>11.7</v>
      </c>
      <c r="F11" s="67">
        <f ca="1">'7. Calculate auction volumes'!H22</f>
        <v>10.9</v>
      </c>
    </row>
    <row r="12" spans="1:6">
      <c r="A12" s="67" t="s">
        <v>111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</row>
    <row r="13" spans="1:6">
      <c r="A13" s="67" t="s">
        <v>112</v>
      </c>
      <c r="B13" s="67">
        <f>'7. Calculate auction volumes'!D25</f>
        <v>17.399999999999999</v>
      </c>
      <c r="C13" s="67">
        <f>'7. Calculate auction volumes'!E25</f>
        <v>15.9</v>
      </c>
      <c r="D13" s="67">
        <f ca="1">'7. Calculate auction volumes'!F25</f>
        <v>16.899999999999999</v>
      </c>
      <c r="E13" s="67">
        <f ca="1">'7. Calculate auction volumes'!G25</f>
        <v>16.2</v>
      </c>
      <c r="F13" s="67">
        <f ca="1">'7. Calculate auction volumes'!H25</f>
        <v>14.9</v>
      </c>
    </row>
    <row r="15" spans="1:6">
      <c r="A15" s="254"/>
      <c r="B15" s="254" t="s">
        <v>103</v>
      </c>
      <c r="C15" s="254"/>
      <c r="D15" s="254" t="s">
        <v>109</v>
      </c>
      <c r="E15" s="254"/>
      <c r="F15" s="254" t="s">
        <v>105</v>
      </c>
    </row>
    <row r="16" spans="1:6">
      <c r="A16" s="499" t="s">
        <v>113</v>
      </c>
      <c r="B16" s="254">
        <v>2026</v>
      </c>
      <c r="C16" s="254">
        <v>2027</v>
      </c>
      <c r="D16" s="254">
        <v>2028</v>
      </c>
      <c r="E16" s="254">
        <v>2029</v>
      </c>
      <c r="F16" s="254">
        <v>2030</v>
      </c>
    </row>
    <row r="17" spans="1:7">
      <c r="A17" s="749" t="s">
        <v>114</v>
      </c>
      <c r="B17" s="749"/>
      <c r="C17" s="749"/>
      <c r="D17" s="749"/>
      <c r="E17" s="749"/>
      <c r="F17" s="749"/>
    </row>
    <row r="18" spans="1:7">
      <c r="A18" s="67" t="s">
        <v>115</v>
      </c>
      <c r="B18" s="513">
        <v>203</v>
      </c>
      <c r="C18" s="513">
        <v>213</v>
      </c>
      <c r="D18" s="513">
        <v>223</v>
      </c>
      <c r="E18" s="513">
        <v>235</v>
      </c>
      <c r="F18" s="513">
        <v>246</v>
      </c>
    </row>
    <row r="19" spans="1:7">
      <c r="A19" s="67" t="s">
        <v>116</v>
      </c>
      <c r="B19" s="421">
        <f>'7. Calculate auction volumes'!D18</f>
        <v>2.2999999999999998</v>
      </c>
      <c r="C19" s="421">
        <f>'7. Calculate auction volumes'!E18</f>
        <v>2.1</v>
      </c>
      <c r="D19" s="421">
        <f>'7. Calculate auction volumes'!F18</f>
        <v>1.9</v>
      </c>
      <c r="E19" s="421">
        <f>'7. Calculate auction volumes'!G18</f>
        <v>1.7</v>
      </c>
      <c r="F19" s="421">
        <f>'7. Calculate auction volumes'!H18</f>
        <v>1.4</v>
      </c>
    </row>
    <row r="20" spans="1:7">
      <c r="A20" s="749" t="s">
        <v>117</v>
      </c>
      <c r="B20" s="749"/>
      <c r="C20" s="749"/>
      <c r="D20" s="749"/>
      <c r="E20" s="749"/>
      <c r="F20" s="749"/>
    </row>
    <row r="21" spans="1:7">
      <c r="A21" s="67" t="s">
        <v>118</v>
      </c>
      <c r="B21" s="513">
        <v>254</v>
      </c>
      <c r="C21" s="513">
        <v>267</v>
      </c>
      <c r="D21" s="513">
        <v>279</v>
      </c>
      <c r="E21" s="513">
        <v>293</v>
      </c>
      <c r="F21" s="513">
        <v>308</v>
      </c>
    </row>
    <row r="22" spans="1:7">
      <c r="A22" s="67" t="s">
        <v>116</v>
      </c>
      <c r="B22" s="421">
        <f>'7. Calculate auction volumes'!D19</f>
        <v>4.2</v>
      </c>
      <c r="C22" s="421">
        <f>'7. Calculate auction volumes'!E19</f>
        <v>3.8</v>
      </c>
      <c r="D22" s="421">
        <f>'7. Calculate auction volumes'!F19</f>
        <v>3.4</v>
      </c>
      <c r="E22" s="421">
        <f>'7. Calculate auction volumes'!G19</f>
        <v>3</v>
      </c>
      <c r="F22" s="421">
        <f>'7. Calculate auction volumes'!H19</f>
        <v>2.5</v>
      </c>
    </row>
    <row r="24" spans="1:7">
      <c r="A24" s="254"/>
      <c r="B24" s="254" t="s">
        <v>103</v>
      </c>
      <c r="C24" s="254"/>
      <c r="D24" s="254" t="s">
        <v>109</v>
      </c>
      <c r="E24" s="254"/>
      <c r="F24" s="254" t="s">
        <v>105</v>
      </c>
    </row>
    <row r="25" spans="1:7">
      <c r="A25" s="499" t="s">
        <v>87</v>
      </c>
      <c r="B25" s="254">
        <v>2026</v>
      </c>
      <c r="C25" s="254">
        <v>2027</v>
      </c>
      <c r="D25" s="254">
        <v>2028</v>
      </c>
      <c r="E25" s="254">
        <v>2029</v>
      </c>
      <c r="F25" s="254">
        <v>2030</v>
      </c>
    </row>
    <row r="26" spans="1:7">
      <c r="A26" s="512" t="s">
        <v>87</v>
      </c>
      <c r="B26" s="513">
        <v>71</v>
      </c>
      <c r="C26" s="513">
        <v>75</v>
      </c>
      <c r="D26" s="513">
        <v>78</v>
      </c>
      <c r="E26" s="513">
        <v>82</v>
      </c>
      <c r="F26" s="513">
        <v>86</v>
      </c>
    </row>
    <row r="28" spans="1:7" s="44" customFormat="1">
      <c r="A28" s="514" t="s">
        <v>119</v>
      </c>
      <c r="B28" s="515"/>
      <c r="C28" s="515"/>
      <c r="D28" s="515"/>
      <c r="E28" s="515"/>
      <c r="F28" s="515"/>
    </row>
    <row r="29" spans="1:7">
      <c r="A29" s="12" t="s">
        <v>120</v>
      </c>
      <c r="B29" s="12">
        <v>2025</v>
      </c>
      <c r="C29" s="12">
        <v>2026</v>
      </c>
      <c r="D29" s="12">
        <v>2027</v>
      </c>
      <c r="E29" s="12">
        <v>2028</v>
      </c>
      <c r="F29" s="12">
        <v>2029</v>
      </c>
      <c r="G29" s="12">
        <v>2030</v>
      </c>
    </row>
    <row r="30" spans="1:7">
      <c r="A30" s="12" t="s">
        <v>121</v>
      </c>
      <c r="B30" s="244">
        <f>'2. NZ ETS cap'!D35/1000</f>
        <v>26.183010725387007</v>
      </c>
      <c r="C30" s="244">
        <f>'2. NZ ETS cap'!E35/1000</f>
        <v>23.222629702940278</v>
      </c>
      <c r="D30" s="244">
        <f>'2. NZ ETS cap'!F35/1000</f>
        <v>20.824005765599541</v>
      </c>
      <c r="E30" s="244">
        <f>'2. NZ ETS cap'!G35/1000</f>
        <v>17.595142962500081</v>
      </c>
      <c r="F30" s="244">
        <f>'2. NZ ETS cap'!H35/1000</f>
        <v>15.112552536963477</v>
      </c>
      <c r="G30" s="244">
        <f>'2. NZ ETS cap'!I35/1000</f>
        <v>12.622786403881387</v>
      </c>
    </row>
    <row r="31" spans="1:7">
      <c r="A31" s="12" t="s">
        <v>122</v>
      </c>
      <c r="B31" s="244">
        <f>'7. Calculate auction volumes'!C13</f>
        <v>6</v>
      </c>
      <c r="C31" s="244">
        <f>'7. Calculate auction volumes'!D13</f>
        <v>5.2</v>
      </c>
      <c r="D31" s="244">
        <f>'7. Calculate auction volumes'!E13</f>
        <v>4.3</v>
      </c>
      <c r="E31" s="244">
        <f ca="1">'7. Calculate auction volumes'!F13</f>
        <v>7</v>
      </c>
      <c r="F31" s="244">
        <f ca="1">'7. Calculate auction volumes'!G13</f>
        <v>7</v>
      </c>
      <c r="G31" s="244">
        <f ca="1">'7. Calculate auction volumes'!H13</f>
        <v>7</v>
      </c>
    </row>
    <row r="32" spans="1:7" ht="30">
      <c r="A32" s="12" t="s">
        <v>123</v>
      </c>
      <c r="B32" s="244">
        <f>'4. Industrial free allocation'!E63</f>
        <v>5.1320717393568538</v>
      </c>
      <c r="C32" s="244">
        <f>'4. Industrial free allocation'!F63</f>
        <v>5.1490185565799056</v>
      </c>
      <c r="D32" s="244">
        <f>'4. Industrial free allocation'!G63</f>
        <v>5.0828568791305733</v>
      </c>
      <c r="E32" s="244">
        <f>'4. Industrial free allocation'!H63</f>
        <v>4.5507249875472429</v>
      </c>
      <c r="F32" s="244">
        <f>'4. Industrial free allocation'!I63</f>
        <v>4.4902458736849109</v>
      </c>
      <c r="G32" s="244">
        <f>'4. Industrial free allocation'!J63</f>
        <v>3.9751616728625798</v>
      </c>
    </row>
    <row r="33" spans="1:7">
      <c r="A33" s="12" t="s">
        <v>124</v>
      </c>
      <c r="B33" s="123">
        <f>B30-B31-B32</f>
        <v>15.050938986030154</v>
      </c>
      <c r="C33" s="244">
        <f t="shared" ref="C33:G33" si="0">C30-C31-C32</f>
        <v>12.873611146360373</v>
      </c>
      <c r="D33" s="244">
        <f t="shared" si="0"/>
        <v>11.441148886468966</v>
      </c>
      <c r="E33" s="244">
        <f t="shared" ca="1" si="0"/>
        <v>6.0444179749528377</v>
      </c>
      <c r="F33" s="244">
        <f t="shared" ca="1" si="0"/>
        <v>3.6223066632785663</v>
      </c>
      <c r="G33" s="244">
        <f t="shared" ca="1" si="0"/>
        <v>1.6476247310188068</v>
      </c>
    </row>
    <row r="57" spans="1:6">
      <c r="A57" s="50" t="s">
        <v>125</v>
      </c>
    </row>
    <row r="58" spans="1:6">
      <c r="A58" s="499" t="s">
        <v>106</v>
      </c>
      <c r="B58" s="254">
        <v>2026</v>
      </c>
      <c r="C58" s="254">
        <v>2027</v>
      </c>
      <c r="D58" s="254">
        <v>2028</v>
      </c>
      <c r="E58" s="254">
        <v>2029</v>
      </c>
      <c r="F58" s="254">
        <v>2030</v>
      </c>
    </row>
    <row r="59" spans="1:6">
      <c r="A59" s="67" t="s">
        <v>126</v>
      </c>
      <c r="B59" s="67">
        <f>'Current NZ ETS settings'!E13</f>
        <v>5.2</v>
      </c>
      <c r="C59" s="67">
        <f>'Current NZ ETS settings'!F13</f>
        <v>4.3</v>
      </c>
      <c r="D59" s="67">
        <f>'Current NZ ETS settings'!G13</f>
        <v>3.3</v>
      </c>
      <c r="E59" s="67">
        <f>'Current NZ ETS settings'!H13</f>
        <v>2.4</v>
      </c>
      <c r="F59" s="67">
        <f>'Current NZ ETS settings'!I13</f>
        <v>1.7000000000000011</v>
      </c>
    </row>
    <row r="60" spans="1:6">
      <c r="A60" s="67" t="s">
        <v>127</v>
      </c>
      <c r="B60" s="67">
        <f>'7. Calculate auction volumes'!D13</f>
        <v>5.2</v>
      </c>
      <c r="C60" s="67">
        <f>'7. Calculate auction volumes'!E13</f>
        <v>4.3</v>
      </c>
      <c r="D60" s="421">
        <f ca="1">'7. Calculate auction volumes'!F13</f>
        <v>7</v>
      </c>
      <c r="E60" s="421">
        <f ca="1">'7. Calculate auction volumes'!G13</f>
        <v>7</v>
      </c>
      <c r="F60" s="421">
        <f ca="1">'7. Calculate auction volumes'!H13</f>
        <v>7</v>
      </c>
    </row>
    <row r="62" spans="1:6">
      <c r="A62" s="50" t="s">
        <v>128</v>
      </c>
    </row>
    <row r="63" spans="1:6">
      <c r="A63" s="500"/>
      <c r="B63" s="500"/>
      <c r="C63" s="500" t="s">
        <v>129</v>
      </c>
      <c r="D63" s="500"/>
    </row>
    <row r="64" spans="1:6" ht="15" customHeight="1">
      <c r="A64" s="501" t="s">
        <v>130</v>
      </c>
      <c r="B64" s="502" t="s">
        <v>131</v>
      </c>
      <c r="C64" s="254" t="s">
        <v>132</v>
      </c>
      <c r="D64" s="254" t="s">
        <v>133</v>
      </c>
      <c r="E64"/>
      <c r="F64"/>
    </row>
    <row r="65" spans="1:6">
      <c r="A65" s="503" t="s">
        <v>134</v>
      </c>
      <c r="B65" s="504">
        <f>'1. Align with reduction targets'!D10/1000</f>
        <v>305</v>
      </c>
      <c r="C65" s="504">
        <f>'1. Align with reduction targets'!D12/1000</f>
        <v>303.08785043912656</v>
      </c>
      <c r="D65" s="505">
        <f>C65-B65</f>
        <v>-1.9121495608734449</v>
      </c>
      <c r="E65"/>
      <c r="F65"/>
    </row>
    <row r="66" spans="1:6">
      <c r="A66" s="503" t="s">
        <v>135</v>
      </c>
      <c r="B66" s="504">
        <f>'1. Align with reduction targets'!E10/1000</f>
        <v>240</v>
      </c>
      <c r="C66" s="504">
        <f>'1. Align with reduction targets'!E12/1000</f>
        <v>249.165176122112</v>
      </c>
      <c r="D66" s="505">
        <f>C66-B66</f>
        <v>9.1651761221120012</v>
      </c>
      <c r="E66"/>
      <c r="F66"/>
    </row>
    <row r="67" spans="1:6">
      <c r="F67"/>
    </row>
    <row r="68" spans="1:6">
      <c r="F68"/>
    </row>
    <row r="69" spans="1:6" s="44" customFormat="1">
      <c r="A69" s="514" t="s">
        <v>136</v>
      </c>
      <c r="B69" s="515"/>
      <c r="C69" s="515"/>
      <c r="D69" s="515"/>
      <c r="E69" s="515"/>
      <c r="F69" s="515"/>
    </row>
    <row r="70" spans="1:6">
      <c r="A70"/>
      <c r="B70" t="s">
        <v>137</v>
      </c>
      <c r="C70" t="s">
        <v>138</v>
      </c>
      <c r="D70"/>
    </row>
    <row r="71" spans="1:6">
      <c r="A71" t="s">
        <v>139</v>
      </c>
      <c r="B71" s="9">
        <f>'5a. Total surplus estimate'!B20/1000</f>
        <v>160.80000000000001</v>
      </c>
      <c r="C71" s="9">
        <f>ROUND(('5a. Total surplus estimate'!B6/1000),1)</f>
        <v>150.4</v>
      </c>
      <c r="D71"/>
    </row>
    <row r="72" spans="1:6">
      <c r="A72" s="5" t="s">
        <v>140</v>
      </c>
      <c r="B72" s="9">
        <f>'5a. Total surplus estimate'!C21/1000</f>
        <v>58</v>
      </c>
      <c r="C72" s="9">
        <f>ROUND(('5a. Total surplus estimate'!C8/1000),1)</f>
        <v>53.1</v>
      </c>
      <c r="D72" s="9"/>
    </row>
    <row r="73" spans="1:6">
      <c r="A73" s="5" t="s">
        <v>141</v>
      </c>
      <c r="B73" s="9">
        <f>'5a. Total surplus estimate'!C24/1000</f>
        <v>28.3</v>
      </c>
      <c r="C73" s="9">
        <f>ROUND(('5a. Total surplus estimate'!C9/1000),1)</f>
        <v>17.399999999999999</v>
      </c>
      <c r="D73" s="9"/>
    </row>
    <row r="74" spans="1:6">
      <c r="A74" s="5" t="s">
        <v>48</v>
      </c>
      <c r="B74" s="9">
        <f>'5a. Total surplus estimate'!C22/1000</f>
        <v>6.6</v>
      </c>
      <c r="C74" s="9">
        <f ca="1">ROUNDDOWN(('5a. Total surplus estimate'!C7/1000),1)</f>
        <v>5.5</v>
      </c>
      <c r="D74" s="9"/>
    </row>
    <row r="75" spans="1:6">
      <c r="A75" s="5" t="s">
        <v>142</v>
      </c>
      <c r="B75" s="9">
        <v>0</v>
      </c>
      <c r="C75" s="9">
        <f>ROUNDDOWN(('5a. Total surplus estimate'!C10/1000),1)</f>
        <v>34.200000000000003</v>
      </c>
      <c r="D75" s="9"/>
    </row>
    <row r="76" spans="1:6">
      <c r="A76" s="5" t="s">
        <v>143</v>
      </c>
      <c r="B76">
        <v>0</v>
      </c>
      <c r="C76" s="401">
        <f>'5a. Total surplus estimate'!C11/1000</f>
        <v>10.027269432362107</v>
      </c>
      <c r="D76" s="9"/>
    </row>
    <row r="77" spans="1:6">
      <c r="A77" s="176" t="s">
        <v>29</v>
      </c>
      <c r="B77" s="350">
        <f>B71-SUM(B72:B75)</f>
        <v>67.90000000000002</v>
      </c>
      <c r="C77" s="350">
        <f ca="1">ROUNDUP((C71-SUM(C72:C75)),1)</f>
        <v>40.200000000000003</v>
      </c>
      <c r="D77" s="508" t="s">
        <v>144</v>
      </c>
    </row>
    <row r="78" spans="1:6">
      <c r="A78" s="5"/>
      <c r="B78" s="9"/>
      <c r="C78" s="9"/>
      <c r="D78" s="9"/>
    </row>
    <row r="79" spans="1:6">
      <c r="A79"/>
      <c r="B79" s="9"/>
      <c r="C79" s="9"/>
      <c r="D79" s="9"/>
    </row>
    <row r="80" spans="1:6">
      <c r="A80" s="5"/>
      <c r="B80" s="9"/>
      <c r="C80" s="9"/>
      <c r="D80" s="9"/>
    </row>
    <row r="81" spans="1:4">
      <c r="A81"/>
      <c r="B81" s="9"/>
      <c r="C81" s="9"/>
      <c r="D81" s="9"/>
    </row>
    <row r="82" spans="1:4">
      <c r="A82" s="5"/>
      <c r="B82" s="9"/>
      <c r="C82" s="9"/>
      <c r="D82" s="9"/>
    </row>
    <row r="83" spans="1:4">
      <c r="A83"/>
      <c r="B83" s="9"/>
      <c r="C83" s="9"/>
      <c r="D83"/>
    </row>
    <row r="100" spans="1:7" s="44" customFormat="1">
      <c r="A100" s="514" t="s">
        <v>145</v>
      </c>
      <c r="B100" s="515"/>
      <c r="C100" s="515"/>
      <c r="D100" s="515"/>
      <c r="E100" s="515"/>
      <c r="F100" s="515"/>
    </row>
    <row r="101" spans="1:7">
      <c r="B101" s="12">
        <v>2025</v>
      </c>
      <c r="C101" s="12">
        <v>2026</v>
      </c>
      <c r="D101" s="12">
        <v>2027</v>
      </c>
      <c r="E101" s="12">
        <v>2028</v>
      </c>
      <c r="F101" s="12">
        <v>2029</v>
      </c>
      <c r="G101" s="12">
        <v>2030</v>
      </c>
    </row>
    <row r="102" spans="1:7">
      <c r="A102" s="12" t="s">
        <v>146</v>
      </c>
      <c r="B102" s="123">
        <f>'Current NZ ETS settings'!D13</f>
        <v>6.0000000000000009</v>
      </c>
      <c r="C102" s="244">
        <f>'Current NZ ETS settings'!E13</f>
        <v>5.2</v>
      </c>
      <c r="D102" s="244">
        <f>'Current NZ ETS settings'!F13</f>
        <v>4.3</v>
      </c>
      <c r="E102" s="244">
        <f>'Current NZ ETS settings'!G13</f>
        <v>3.3</v>
      </c>
      <c r="F102" s="244">
        <f>'Current NZ ETS settings'!H13</f>
        <v>2.4</v>
      </c>
      <c r="G102" s="244">
        <f>'Current NZ ETS settings'!I13</f>
        <v>1.7000000000000011</v>
      </c>
    </row>
    <row r="103" spans="1:7">
      <c r="A103" s="12" t="s">
        <v>147</v>
      </c>
      <c r="B103" s="123">
        <f>B102</f>
        <v>6.0000000000000009</v>
      </c>
      <c r="C103" s="244">
        <f t="shared" ref="C103:D103" si="1">C102</f>
        <v>5.2</v>
      </c>
      <c r="D103" s="244">
        <f t="shared" si="1"/>
        <v>4.3</v>
      </c>
      <c r="E103" s="244">
        <f ca="1">ROUND(('7. Calculate auction volumes'!L9/1000),1)</f>
        <v>9.1999999999999993</v>
      </c>
      <c r="F103" s="244">
        <f ca="1">ROUND(('7. Calculate auction volumes'!M9/1000),1)</f>
        <v>6.8</v>
      </c>
      <c r="G103" s="244">
        <f ca="1">ROUND(('7. Calculate auction volumes'!N9/1000),1)</f>
        <v>5.0999999999999996</v>
      </c>
    </row>
    <row r="104" spans="1:7">
      <c r="A104" s="12" t="s">
        <v>148</v>
      </c>
      <c r="B104" s="123">
        <f>'7. Calculate auction volumes'!C13</f>
        <v>6</v>
      </c>
      <c r="C104" s="244">
        <f>'7. Calculate auction volumes'!D13</f>
        <v>5.2</v>
      </c>
      <c r="D104" s="244">
        <f>'7. Calculate auction volumes'!E13</f>
        <v>4.3</v>
      </c>
      <c r="E104" s="244">
        <f ca="1">'7. Calculate auction volumes'!F13</f>
        <v>7</v>
      </c>
      <c r="F104" s="244">
        <f ca="1">'7. Calculate auction volumes'!G13</f>
        <v>7</v>
      </c>
      <c r="G104" s="244">
        <f ca="1">'7. Calculate auction volumes'!H13</f>
        <v>7</v>
      </c>
    </row>
    <row r="125" spans="1:7">
      <c r="A125" s="50" t="s">
        <v>149</v>
      </c>
    </row>
    <row r="126" spans="1:7">
      <c r="A126" s="507"/>
      <c r="B126" s="507" t="s">
        <v>103</v>
      </c>
      <c r="C126" s="507"/>
      <c r="D126" s="507" t="s">
        <v>104</v>
      </c>
      <c r="E126" s="507"/>
      <c r="F126" s="507" t="s">
        <v>105</v>
      </c>
      <c r="G126" s="507" t="s">
        <v>150</v>
      </c>
    </row>
    <row r="127" spans="1:7">
      <c r="A127" s="507" t="s">
        <v>106</v>
      </c>
      <c r="B127" s="254">
        <v>2026</v>
      </c>
      <c r="C127" s="254">
        <v>2027</v>
      </c>
      <c r="D127" s="254">
        <v>2028</v>
      </c>
      <c r="E127" s="254">
        <v>2029</v>
      </c>
      <c r="F127" s="254">
        <v>2030</v>
      </c>
      <c r="G127" s="705"/>
    </row>
    <row r="128" spans="1:7">
      <c r="A128" s="421" t="s">
        <v>151</v>
      </c>
      <c r="B128" s="421">
        <f>'Current NZ ETS settings'!E5</f>
        <v>65.7</v>
      </c>
      <c r="C128" s="421">
        <f>'Current NZ ETS settings'!F5</f>
        <v>63.4</v>
      </c>
      <c r="D128" s="421">
        <f>'7. Calculate auction volumes'!F4/1000</f>
        <v>60.439900642345982</v>
      </c>
      <c r="E128" s="421">
        <f>'7. Calculate auction volumes'!G4/1000</f>
        <v>57.862514098637185</v>
      </c>
      <c r="F128" s="421">
        <f>'7. Calculate auction volumes'!H4/1000</f>
        <v>55.17966649960929</v>
      </c>
      <c r="G128" s="440">
        <f>SUM(B128:F128)</f>
        <v>302.58208124059246</v>
      </c>
    </row>
    <row r="129" spans="1:7">
      <c r="A129" s="421" t="s">
        <v>152</v>
      </c>
      <c r="B129" s="421">
        <f>'Current NZ ETS settings'!E6*-1</f>
        <v>-42.3</v>
      </c>
      <c r="C129" s="421">
        <f>'Current NZ ETS settings'!F6*-1</f>
        <v>-41.9</v>
      </c>
      <c r="D129" s="421">
        <f>'7. Calculate auction volumes'!F5/-1000</f>
        <v>-42.844757679845898</v>
      </c>
      <c r="E129" s="421">
        <f>'7. Calculate auction volumes'!G5/-1000</f>
        <v>-42.749961561673707</v>
      </c>
      <c r="F129" s="421">
        <f>'7. Calculate auction volumes'!H5/-1000</f>
        <v>-42.556880095727905</v>
      </c>
      <c r="G129" s="440">
        <f t="shared" ref="G129:G137" si="2">SUM(B129:F129)</f>
        <v>-212.35159933724751</v>
      </c>
    </row>
    <row r="130" spans="1:7">
      <c r="A130" s="421" t="s">
        <v>153</v>
      </c>
      <c r="B130" s="421">
        <f>'Current NZ ETS settings'!E7</f>
        <v>23.4</v>
      </c>
      <c r="C130" s="421">
        <f>'Current NZ ETS settings'!F7</f>
        <v>21.4</v>
      </c>
      <c r="D130" s="421">
        <f>'7. Calculate auction volumes'!F6/1000</f>
        <v>17.595142962500081</v>
      </c>
      <c r="E130" s="421">
        <f>'7. Calculate auction volumes'!G6/1000</f>
        <v>15.112552536963477</v>
      </c>
      <c r="F130" s="421">
        <f>'7. Calculate auction volumes'!H6/1000</f>
        <v>12.622786403881387</v>
      </c>
      <c r="G130" s="440">
        <f t="shared" si="2"/>
        <v>90.130481903344943</v>
      </c>
    </row>
    <row r="131" spans="1:7">
      <c r="A131" s="421" t="s">
        <v>154</v>
      </c>
      <c r="B131" s="421">
        <f>'Current NZ ETS settings'!E8</f>
        <v>0.7</v>
      </c>
      <c r="C131" s="421">
        <f>'Current NZ ETS settings'!F8</f>
        <v>0.7</v>
      </c>
      <c r="D131" s="421">
        <f>E237</f>
        <v>0</v>
      </c>
      <c r="E131" s="421">
        <f>F237</f>
        <v>0</v>
      </c>
      <c r="F131" s="421">
        <f>G237</f>
        <v>0</v>
      </c>
      <c r="G131" s="440">
        <f t="shared" si="2"/>
        <v>1.4</v>
      </c>
    </row>
    <row r="132" spans="1:7">
      <c r="A132" s="421" t="s">
        <v>155</v>
      </c>
      <c r="B132" s="421">
        <f>'Current NZ ETS settings'!E9</f>
        <v>5.7</v>
      </c>
      <c r="C132" s="421">
        <f>'Current NZ ETS settings'!F9</f>
        <v>5.7</v>
      </c>
      <c r="D132" s="421">
        <f>'4. Industrial free allocation'!H63</f>
        <v>4.5507249875472429</v>
      </c>
      <c r="E132" s="421">
        <f>'4. Industrial free allocation'!I63</f>
        <v>4.4902458736849109</v>
      </c>
      <c r="F132" s="421">
        <f>'4. Industrial free allocation'!J63</f>
        <v>3.9751616728625798</v>
      </c>
      <c r="G132" s="440">
        <f t="shared" si="2"/>
        <v>24.416132534094732</v>
      </c>
    </row>
    <row r="133" spans="1:7">
      <c r="A133" s="421" t="s">
        <v>156</v>
      </c>
      <c r="B133" s="421">
        <f>'5a. Surplus reduction volumes'!E12/1000</f>
        <v>11.5</v>
      </c>
      <c r="C133" s="421">
        <f>'5a. Surplus reduction volumes'!F12/1000</f>
        <v>10.5</v>
      </c>
      <c r="D133" s="421">
        <f ca="1">'5a. Surplus reduction volumes'!G12/1000</f>
        <v>5.4077219818608802</v>
      </c>
      <c r="E133" s="421">
        <f ca="1">'5a. Surplus reduction volumes'!H12/1000</f>
        <v>5.2623460949414946</v>
      </c>
      <c r="F133" s="421">
        <f ca="1">'5a. Surplus reduction volumes'!I12/1000</f>
        <v>4.9888390873314341</v>
      </c>
      <c r="G133" s="440">
        <f t="shared" ca="1" si="2"/>
        <v>37.658907164133808</v>
      </c>
    </row>
    <row r="134" spans="1:7">
      <c r="A134" s="421" t="s">
        <v>157</v>
      </c>
      <c r="B134" s="421">
        <f>'Current NZ ETS settings'!E11</f>
        <v>0.3</v>
      </c>
      <c r="C134" s="421">
        <f>'Current NZ ETS settings'!F11</f>
        <v>0.3</v>
      </c>
      <c r="D134" s="421">
        <f>'5b. Discrepancy adjustment'!F26/1000</f>
        <v>-1.5135385615249299</v>
      </c>
      <c r="E134" s="421">
        <f>'5b. Discrepancy adjustment'!G26/1000</f>
        <v>-1.4728500772599418</v>
      </c>
      <c r="F134" s="421">
        <f>'5b. Discrepancy adjustment'!H26/1000</f>
        <v>-1.3962996546876134</v>
      </c>
      <c r="G134" s="440">
        <f t="shared" si="2"/>
        <v>-3.7826882934724853</v>
      </c>
    </row>
    <row r="135" spans="1:7">
      <c r="A135" s="421" t="s">
        <v>158</v>
      </c>
      <c r="B135" s="421">
        <v>0</v>
      </c>
      <c r="C135" s="421">
        <v>0</v>
      </c>
      <c r="D135" s="421">
        <v>0</v>
      </c>
      <c r="E135" s="421">
        <v>0</v>
      </c>
      <c r="F135" s="421">
        <v>0</v>
      </c>
      <c r="G135" s="440">
        <f t="shared" si="2"/>
        <v>0</v>
      </c>
    </row>
    <row r="136" spans="1:7">
      <c r="A136" s="421" t="s">
        <v>159</v>
      </c>
      <c r="B136" s="421">
        <f>B130-B131-B132-B133-B134</f>
        <v>5.2</v>
      </c>
      <c r="C136" s="421">
        <v>4.3</v>
      </c>
      <c r="D136" s="421">
        <f ca="1">E103</f>
        <v>9.1999999999999993</v>
      </c>
      <c r="E136" s="421">
        <f t="shared" ref="E136:F136" ca="1" si="3">F103</f>
        <v>6.8</v>
      </c>
      <c r="F136" s="421">
        <f t="shared" ca="1" si="3"/>
        <v>5.0999999999999996</v>
      </c>
      <c r="G136" s="440">
        <f t="shared" ca="1" si="2"/>
        <v>30.6</v>
      </c>
    </row>
    <row r="137" spans="1:7">
      <c r="A137" s="422" t="s">
        <v>160</v>
      </c>
      <c r="B137" s="422">
        <f>B136</f>
        <v>5.2</v>
      </c>
      <c r="C137" s="422">
        <f>C136</f>
        <v>4.3</v>
      </c>
      <c r="D137" s="422">
        <f ca="1">E104</f>
        <v>7</v>
      </c>
      <c r="E137" s="422">
        <f t="shared" ref="E137:F137" ca="1" si="4">F104</f>
        <v>7</v>
      </c>
      <c r="F137" s="422">
        <f t="shared" ca="1" si="4"/>
        <v>7</v>
      </c>
      <c r="G137" s="706">
        <f t="shared" ca="1" si="2"/>
        <v>30.5</v>
      </c>
    </row>
    <row r="140" spans="1:7" s="44" customFormat="1">
      <c r="A140" s="43" t="s">
        <v>161</v>
      </c>
    </row>
    <row r="141" spans="1:7">
      <c r="A141" t="s">
        <v>162</v>
      </c>
      <c r="B141" t="s">
        <v>163</v>
      </c>
      <c r="C141" t="s">
        <v>164</v>
      </c>
      <c r="D141" t="s">
        <v>165</v>
      </c>
      <c r="E141" t="s">
        <v>166</v>
      </c>
      <c r="F141" t="s">
        <v>167</v>
      </c>
    </row>
    <row r="142" spans="1:7">
      <c r="A142">
        <v>22</v>
      </c>
      <c r="B142">
        <v>21</v>
      </c>
      <c r="C142">
        <v>20</v>
      </c>
      <c r="D142">
        <v>19</v>
      </c>
      <c r="E142">
        <v>18</v>
      </c>
      <c r="F142">
        <v>17</v>
      </c>
    </row>
    <row r="143" spans="1:7">
      <c r="A143"/>
      <c r="B143"/>
      <c r="C143"/>
      <c r="D143"/>
      <c r="E143"/>
      <c r="F143"/>
    </row>
    <row r="144" spans="1:7">
      <c r="A144"/>
      <c r="B144"/>
      <c r="C144"/>
      <c r="D144"/>
      <c r="E144"/>
      <c r="F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</sheetData>
  <mergeCells count="2">
    <mergeCell ref="A17:F17"/>
    <mergeCell ref="A20:F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2E30-0FE3-4099-86CE-B8D187921751}">
  <sheetPr>
    <tabColor theme="8" tint="0.79998168889431442"/>
  </sheetPr>
  <dimension ref="A1:CA402"/>
  <sheetViews>
    <sheetView zoomScale="70" zoomScaleNormal="70" workbookViewId="0">
      <selection activeCell="X18" sqref="X18"/>
    </sheetView>
  </sheetViews>
  <sheetFormatPr defaultRowHeight="15"/>
  <cols>
    <col min="1" max="1" width="28.42578125" customWidth="1"/>
    <col min="2" max="8" width="21.42578125" customWidth="1"/>
    <col min="9" max="9" width="13" customWidth="1"/>
    <col min="10" max="10" width="16.85546875" customWidth="1"/>
    <col min="12" max="12" width="9.5703125" bestFit="1" customWidth="1"/>
  </cols>
  <sheetData>
    <row r="1" spans="1:74" s="44" customForma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74" s="16" customFormat="1">
      <c r="A2" s="26" t="s">
        <v>168</v>
      </c>
    </row>
    <row r="3" spans="1:74" s="44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44" customFormat="1">
      <c r="A4" t="s">
        <v>169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44" customFormat="1">
      <c r="A5"/>
      <c r="B5" s="684">
        <f>'1. Align with reduction targets'!H20</f>
        <v>2025</v>
      </c>
      <c r="C5" s="684">
        <f>'1. Align with reduction targets'!I20</f>
        <v>2026</v>
      </c>
      <c r="D5" s="684">
        <f>'1. Align with reduction targets'!J20</f>
        <v>2027</v>
      </c>
      <c r="E5" s="684">
        <f>'1. Align with reduction targets'!K20</f>
        <v>2028</v>
      </c>
      <c r="F5" s="684">
        <f>'1. Align with reduction targets'!L20</f>
        <v>2029</v>
      </c>
      <c r="G5" s="684">
        <f>'1. Align with reduction targets'!M20</f>
        <v>2030</v>
      </c>
      <c r="H5" s="684">
        <f>'1. Align with reduction targets'!N20</f>
        <v>2031</v>
      </c>
      <c r="I5" s="684">
        <f>'1. Align with reduction targets'!O20</f>
        <v>2032</v>
      </c>
      <c r="J5" s="684">
        <f>'1. Align with reduction targets'!P20</f>
        <v>2033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44" customFormat="1">
      <c r="A6" s="67" t="str">
        <f>'1. Align with reduction targets'!B21</f>
        <v>Second emissions reduction plan emissions projections</v>
      </c>
      <c r="B6" s="662">
        <f>'1. Align with reduction targets'!H21</f>
        <v>69.017849740273832</v>
      </c>
      <c r="C6" s="662">
        <f>'1. Align with reduction targets'!I21</f>
        <v>65.932055473631763</v>
      </c>
      <c r="D6" s="662">
        <f>'1. Align with reduction targets'!J21</f>
        <v>63.673713724902349</v>
      </c>
      <c r="E6" s="662">
        <f>'1. Align with reduction targets'!K21</f>
        <v>60.439900642345982</v>
      </c>
      <c r="F6" s="662">
        <f>'1. Align with reduction targets'!L21</f>
        <v>57.862514098637185</v>
      </c>
      <c r="G6" s="662">
        <f>'1. Align with reduction targets'!M21</f>
        <v>55.17966649960929</v>
      </c>
      <c r="H6" s="662">
        <f>'1. Align with reduction targets'!N21</f>
        <v>53.542175515277542</v>
      </c>
      <c r="I6" s="662">
        <f>'1. Align with reduction targets'!O21</f>
        <v>51.972552219795119</v>
      </c>
      <c r="J6" s="662">
        <f>'1. Align with reduction targets'!P21</f>
        <v>50.021614234215029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44" customFormat="1">
      <c r="A7" s="67" t="str">
        <f>'1. Align with reduction targets'!B22</f>
        <v>Emissions pathway to meet emissions budget 3</v>
      </c>
      <c r="B7" s="662">
        <f>'1. Align with reduction targets'!H22</f>
        <v>69.017849740273832</v>
      </c>
      <c r="C7" s="662">
        <f>'1. Align with reduction targets'!I22</f>
        <v>65.932055473631763</v>
      </c>
      <c r="D7" s="662">
        <f>'1. Align with reduction targets'!J22</f>
        <v>63.673713724902349</v>
      </c>
      <c r="E7" s="662">
        <f>'1. Align with reduction targets'!K22</f>
        <v>60.439900642345982</v>
      </c>
      <c r="F7" s="662">
        <f>'1. Align with reduction targets'!L22</f>
        <v>57.862514098637185</v>
      </c>
      <c r="G7" s="662">
        <f>'1. Align with reduction targets'!M22</f>
        <v>55.17966649960929</v>
      </c>
      <c r="H7" s="662">
        <f>'1. Align with reduction targets'!N22</f>
        <v>51.314841471996552</v>
      </c>
      <c r="I7" s="662">
        <f>'1. Align with reduction targets'!O22</f>
        <v>49.810513905862244</v>
      </c>
      <c r="J7" s="662">
        <f>'1. Align with reduction targets'!P22</f>
        <v>47.9407341950402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44" customFormat="1">
      <c r="A8" s="67" t="str">
        <f>'1. Align with reduction targets'!B23</f>
        <v>Difference (ERP2 vs. EB3)</v>
      </c>
      <c r="B8" s="662">
        <f>'1. Align with reduction targets'!H23</f>
        <v>0</v>
      </c>
      <c r="C8" s="662">
        <f>'1. Align with reduction targets'!I23</f>
        <v>0</v>
      </c>
      <c r="D8" s="662">
        <f>'1. Align with reduction targets'!J23</f>
        <v>0</v>
      </c>
      <c r="E8" s="662">
        <f>'1. Align with reduction targets'!K23</f>
        <v>0</v>
      </c>
      <c r="F8" s="662">
        <f>'1. Align with reduction targets'!L23</f>
        <v>0</v>
      </c>
      <c r="G8" s="662">
        <f>'1. Align with reduction targets'!M23</f>
        <v>0</v>
      </c>
      <c r="H8" s="662">
        <f>'1. Align with reduction targets'!N23</f>
        <v>2.2273340432809903</v>
      </c>
      <c r="I8" s="662">
        <f>'1. Align with reduction targets'!O23</f>
        <v>2.1620383139328752</v>
      </c>
      <c r="J8" s="662">
        <f>'1. Align with reduction targets'!P23</f>
        <v>2.0808800391748292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44" customFormat="1">
      <c r="A9" s="67" t="str">
        <f>'1. Align with reduction targets'!B24</f>
        <v>Emissions budgets</v>
      </c>
      <c r="B9" s="662">
        <f>'1. Align with reduction targets'!H24</f>
        <v>72.5</v>
      </c>
      <c r="C9" s="662">
        <f>'1. Align with reduction targets'!I24</f>
        <v>60.78</v>
      </c>
      <c r="D9" s="662">
        <f>'1. Align with reduction targets'!J24</f>
        <v>60.78</v>
      </c>
      <c r="E9" s="662">
        <f>'1. Align with reduction targets'!K24</f>
        <v>60.78</v>
      </c>
      <c r="F9" s="662">
        <f>'1. Align with reduction targets'!L24</f>
        <v>60.78</v>
      </c>
      <c r="G9" s="662">
        <f>'1. Align with reduction targets'!M24</f>
        <v>60.78</v>
      </c>
      <c r="H9" s="662">
        <f>'1. Align with reduction targets'!N24</f>
        <v>47.76</v>
      </c>
      <c r="I9" s="662">
        <f>'1. Align with reduction targets'!O24</f>
        <v>47.76</v>
      </c>
      <c r="J9" s="662">
        <f>'1. Align with reduction targets'!P24</f>
        <v>47.76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44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44" customFormat="1">
      <c r="A11" s="1" t="s">
        <v>170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44" customForma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44" customForma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44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44" customForma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44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44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44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44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44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44" customForma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44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44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44" customForma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44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44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44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44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44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5" spans="1:18" s="317" customFormat="1">
      <c r="A35" s="320" t="s">
        <v>171</v>
      </c>
    </row>
    <row r="36" spans="1:18">
      <c r="A36" s="1" t="s">
        <v>172</v>
      </c>
      <c r="C36" s="450"/>
      <c r="D36" s="449"/>
      <c r="F36" s="449"/>
      <c r="G36" s="449"/>
      <c r="H36" s="449"/>
      <c r="I36" s="1"/>
      <c r="K36" s="1"/>
      <c r="L36" s="1"/>
      <c r="M36" s="1"/>
      <c r="N36" s="1"/>
    </row>
    <row r="37" spans="1:18">
      <c r="A37" s="254" t="s">
        <v>173</v>
      </c>
      <c r="B37" s="254"/>
      <c r="C37" s="455">
        <v>2025</v>
      </c>
      <c r="D37" s="254">
        <v>2026</v>
      </c>
      <c r="E37" s="254">
        <v>2027</v>
      </c>
      <c r="F37" s="254">
        <v>2028</v>
      </c>
      <c r="G37" s="254">
        <v>2029</v>
      </c>
      <c r="H37" s="451">
        <v>2030</v>
      </c>
      <c r="I37" s="451" t="s">
        <v>174</v>
      </c>
      <c r="J37" s="451" t="s">
        <v>175</v>
      </c>
      <c r="K37" s="458"/>
      <c r="L37" s="458"/>
      <c r="M37" s="458"/>
    </row>
    <row r="38" spans="1:18">
      <c r="A38" s="734" t="s">
        <v>176</v>
      </c>
      <c r="B38" s="734"/>
      <c r="C38" s="660">
        <f>'2. NZ ETS cap'!D6/1000</f>
        <v>69.017849740273832</v>
      </c>
      <c r="D38" s="660">
        <f>'2. NZ ETS cap'!E6/1000</f>
        <v>65.932055473631763</v>
      </c>
      <c r="E38" s="660">
        <f>'2. NZ ETS cap'!F6/1000</f>
        <v>63.673713724902349</v>
      </c>
      <c r="F38" s="660">
        <f>'2. NZ ETS cap'!G6/1000</f>
        <v>60.439900642345982</v>
      </c>
      <c r="G38" s="660">
        <f>'2. NZ ETS cap'!H6/1000</f>
        <v>57.862514098637185</v>
      </c>
      <c r="H38" s="661">
        <f>'2. NZ ETS cap'!I6/1000</f>
        <v>55.17966649960929</v>
      </c>
      <c r="I38" s="662">
        <f>SUM(D38:H38)</f>
        <v>303.08785043912656</v>
      </c>
      <c r="J38" s="662">
        <f>I38</f>
        <v>303.08785043912656</v>
      </c>
      <c r="K38" s="160"/>
      <c r="L38" s="160"/>
      <c r="M38" s="160"/>
    </row>
    <row r="39" spans="1:18" ht="14.45" customHeight="1">
      <c r="A39" s="736" t="s">
        <v>177</v>
      </c>
      <c r="B39" s="67" t="str">
        <f>'2. NZ ETS cap'!B8</f>
        <v>Agriculture</v>
      </c>
      <c r="C39" s="662">
        <f>'2. NZ ETS cap'!D8/1000</f>
        <v>39.605623785565236</v>
      </c>
      <c r="D39" s="662">
        <f>'2. NZ ETS cap'!E8/1000</f>
        <v>39.403107980066153</v>
      </c>
      <c r="E39" s="662">
        <f>'2. NZ ETS cap'!F8/1000</f>
        <v>39.254616112724925</v>
      </c>
      <c r="F39" s="662">
        <f>'2. NZ ETS cap'!G8/1000</f>
        <v>39.277323041220207</v>
      </c>
      <c r="G39" s="662">
        <f>'2. NZ ETS cap'!H8/1000</f>
        <v>39.166732306191861</v>
      </c>
      <c r="H39" s="663">
        <f>'2. NZ ETS cap'!I8/1000</f>
        <v>38.971559832769117</v>
      </c>
      <c r="I39" s="662">
        <f t="shared" ref="I39:I51" si="0">SUM(D39:H39)</f>
        <v>196.07333927297225</v>
      </c>
      <c r="J39" s="662">
        <f>I39</f>
        <v>196.07333927297225</v>
      </c>
      <c r="K39" s="401"/>
      <c r="L39" s="401"/>
      <c r="M39" s="401"/>
    </row>
    <row r="40" spans="1:18">
      <c r="A40" s="737"/>
      <c r="B40" s="67" t="str">
        <f>'2. NZ ETS cap'!B9</f>
        <v>Non-municipal waste</v>
      </c>
      <c r="C40" s="662">
        <f>'2. NZ ETS cap'!D9/1000</f>
        <v>2.3647067622489932</v>
      </c>
      <c r="D40" s="662">
        <f>'2. NZ ETS cap'!E9/1000</f>
        <v>2.272099908131183</v>
      </c>
      <c r="E40" s="662">
        <f>'2. NZ ETS cap'!F9/1000</f>
        <v>2.2310229605450487</v>
      </c>
      <c r="F40" s="662">
        <f>'2. NZ ETS cap'!G9/1000</f>
        <v>2.1910555104440443</v>
      </c>
      <c r="G40" s="662">
        <f>'2. NZ ETS cap'!H9/1000</f>
        <v>2.154341747640248</v>
      </c>
      <c r="H40" s="663">
        <f>'2. NZ ETS cap'!I9/1000</f>
        <v>2.1233439499977083</v>
      </c>
      <c r="I40" s="662">
        <f t="shared" si="0"/>
        <v>10.97186407675823</v>
      </c>
      <c r="J40" s="662">
        <v>10.199999999999999</v>
      </c>
      <c r="K40" s="401"/>
      <c r="L40" s="401"/>
      <c r="M40" s="401"/>
    </row>
    <row r="41" spans="1:18">
      <c r="A41" s="737"/>
      <c r="B41" s="67" t="str">
        <f>'2. NZ ETS cap'!B10</f>
        <v>F-gases</v>
      </c>
      <c r="C41" s="662">
        <f>'2. NZ ETS cap'!D10/1000</f>
        <v>0.62228521807967274</v>
      </c>
      <c r="D41" s="662">
        <f>'2. NZ ETS cap'!E10/1000</f>
        <v>0.60950620258623944</v>
      </c>
      <c r="E41" s="662">
        <f>'2. NZ ETS cap'!F10/1000</f>
        <v>0.57991434523433361</v>
      </c>
      <c r="F41" s="662">
        <f>'2. NZ ETS cap'!G10/1000</f>
        <v>0.53488684249582596</v>
      </c>
      <c r="G41" s="662">
        <f>'2. NZ ETS cap'!H10/1000</f>
        <v>0.50920225045870371</v>
      </c>
      <c r="H41" s="663">
        <f>'2. NZ ETS cap'!I10/1000</f>
        <v>0.50798603659031683</v>
      </c>
      <c r="I41" s="662">
        <f t="shared" si="0"/>
        <v>2.7414956773654198</v>
      </c>
      <c r="J41" s="662">
        <v>3.3</v>
      </c>
      <c r="K41" s="401"/>
      <c r="L41" s="401"/>
      <c r="M41" s="401"/>
    </row>
    <row r="42" spans="1:18">
      <c r="A42" s="737"/>
      <c r="B42" s="67" t="str">
        <f>'2. NZ ETS cap'!B11</f>
        <v>Industrial processes and product use (IPPU)</v>
      </c>
      <c r="C42" s="662">
        <f>'2. NZ ETS cap'!D11/1000</f>
        <v>0.17902961164801676</v>
      </c>
      <c r="D42" s="662">
        <f>'2. NZ ETS cap'!E11/1000</f>
        <v>0.13815973340867441</v>
      </c>
      <c r="E42" s="662">
        <f>'2. NZ ETS cap'!F11/1000</f>
        <v>0.13587493452950525</v>
      </c>
      <c r="F42" s="662">
        <f>'2. NZ ETS cap'!G11/1000</f>
        <v>0.13021751769678139</v>
      </c>
      <c r="G42" s="662">
        <f>'2. NZ ETS cap'!H11/1000</f>
        <v>0.12826658298881016</v>
      </c>
      <c r="H42" s="663">
        <f>'2. NZ ETS cap'!I11/1000</f>
        <v>0.12619201080808187</v>
      </c>
      <c r="I42" s="662">
        <f t="shared" si="0"/>
        <v>0.65871077943185297</v>
      </c>
      <c r="J42" s="662">
        <v>1.3</v>
      </c>
      <c r="K42" s="401"/>
      <c r="L42" s="401"/>
      <c r="M42" s="401"/>
      <c r="R42" s="125"/>
    </row>
    <row r="43" spans="1:18">
      <c r="A43" s="737"/>
      <c r="B43" s="67" t="str">
        <f>'2. NZ ETS cap'!B12</f>
        <v>Biomass combustion</v>
      </c>
      <c r="C43" s="662">
        <f>'2. NZ ETS cap'!D12/1000</f>
        <v>5.9331679708252663E-2</v>
      </c>
      <c r="D43" s="662">
        <f>'2. NZ ETS cap'!E12/1000</f>
        <v>5.9545216410546158E-2</v>
      </c>
      <c r="E43" s="662">
        <f>'2. NZ ETS cap'!F12/1000</f>
        <v>5.9758753112839666E-2</v>
      </c>
      <c r="F43" s="662">
        <f>'2. NZ ETS cap'!G12/1000</f>
        <v>5.9972289815133167E-2</v>
      </c>
      <c r="G43" s="662">
        <f>'2. NZ ETS cap'!H12/1000</f>
        <v>6.0185826517426669E-2</v>
      </c>
      <c r="H43" s="663">
        <f>'2. NZ ETS cap'!I12/1000</f>
        <v>6.0399247676725665E-2</v>
      </c>
      <c r="I43" s="662">
        <f t="shared" si="0"/>
        <v>0.2998613335326713</v>
      </c>
      <c r="J43" s="662">
        <v>0.6</v>
      </c>
      <c r="K43" s="401"/>
      <c r="L43" s="401"/>
      <c r="M43" s="401"/>
    </row>
    <row r="44" spans="1:18">
      <c r="A44" s="737"/>
      <c r="B44" s="67" t="s">
        <v>178</v>
      </c>
      <c r="C44" s="662">
        <f>'2. NZ ETS cap'!D15/1000</f>
        <v>-0.96794190399448232</v>
      </c>
      <c r="D44" s="662">
        <f>'2. NZ ETS cap'!E15/1000</f>
        <v>-0.78777285887598192</v>
      </c>
      <c r="E44" s="662">
        <f>'2. NZ ETS cap'!F15/1000</f>
        <v>-0.48858533956731298</v>
      </c>
      <c r="F44" s="662">
        <f>'2. NZ ETS cap'!G15/1000</f>
        <v>-0.42683786436678017</v>
      </c>
      <c r="G44" s="662">
        <f>'2. NZ ETS cap'!H15/1000</f>
        <v>-0.35367127880303634</v>
      </c>
      <c r="H44" s="663">
        <f>'2. NZ ETS cap'!I15/1000</f>
        <v>-0.32229854833697208</v>
      </c>
      <c r="I44" s="662">
        <f t="shared" si="0"/>
        <v>-2.3791658899500838</v>
      </c>
      <c r="J44" s="727">
        <v>0.4</v>
      </c>
      <c r="K44" s="401"/>
      <c r="L44" s="401"/>
      <c r="M44" s="401"/>
    </row>
    <row r="45" spans="1:18">
      <c r="A45" s="738"/>
      <c r="B45" s="67" t="s">
        <v>179</v>
      </c>
      <c r="C45" s="662">
        <f>'2. NZ ETS cap'!D16/1000</f>
        <v>0.97180386163113097</v>
      </c>
      <c r="D45" s="662">
        <f>'2. NZ ETS cap'!E16/1000</f>
        <v>1.0147795889646649</v>
      </c>
      <c r="E45" s="662">
        <f>'2. NZ ETS cap'!F16/1000</f>
        <v>1.0771061927234682</v>
      </c>
      <c r="F45" s="662">
        <f>'2. NZ ETS cap'!G16/1000</f>
        <v>1.0781403425406895</v>
      </c>
      <c r="G45" s="662">
        <f>'2. NZ ETS cap'!H16/1000</f>
        <v>1.0849041266797037</v>
      </c>
      <c r="H45" s="663">
        <f>'2. NZ ETS cap'!I16/1000</f>
        <v>1.089697566222922</v>
      </c>
      <c r="I45" s="662">
        <f t="shared" si="0"/>
        <v>5.3446278171314487</v>
      </c>
      <c r="J45" s="728"/>
      <c r="K45" s="401"/>
      <c r="L45" s="401"/>
      <c r="M45" s="401"/>
    </row>
    <row r="46" spans="1:18">
      <c r="A46" s="735" t="s">
        <v>180</v>
      </c>
      <c r="B46" s="735"/>
      <c r="C46" s="660">
        <f t="shared" ref="C46:H46" si="1">SUM(C39:C45)</f>
        <v>42.834839014886825</v>
      </c>
      <c r="D46" s="660">
        <f t="shared" si="1"/>
        <v>42.709425770691482</v>
      </c>
      <c r="E46" s="660">
        <f t="shared" si="1"/>
        <v>42.849707959302805</v>
      </c>
      <c r="F46" s="660">
        <f t="shared" si="1"/>
        <v>42.844757679845898</v>
      </c>
      <c r="G46" s="660">
        <f t="shared" si="1"/>
        <v>42.749961561673715</v>
      </c>
      <c r="H46" s="661">
        <f t="shared" si="1"/>
        <v>42.556880095727905</v>
      </c>
      <c r="I46" s="662">
        <f t="shared" si="0"/>
        <v>213.71073306724182</v>
      </c>
      <c r="J46" s="662">
        <v>211.8</v>
      </c>
      <c r="K46" s="160"/>
      <c r="L46" s="160"/>
      <c r="M46" s="160"/>
    </row>
    <row r="47" spans="1:18">
      <c r="A47" s="739"/>
      <c r="B47" s="67" t="s">
        <v>181</v>
      </c>
      <c r="C47" s="664">
        <f>'2. NZ ETS cap'!D29/1000</f>
        <v>33.558297352404438</v>
      </c>
      <c r="D47" s="664">
        <f>'2. NZ ETS cap'!E29/1000</f>
        <v>32.238143264153315</v>
      </c>
      <c r="E47" s="664">
        <f>'2. NZ ETS cap'!F29/1000</f>
        <v>31.816338999303206</v>
      </c>
      <c r="F47" s="664">
        <f>'2. NZ ETS cap'!G29/1000</f>
        <v>30.592637257794649</v>
      </c>
      <c r="G47" s="664">
        <f>'2. NZ ETS cap'!H29/1000</f>
        <v>29.770214842316758</v>
      </c>
      <c r="H47" s="665">
        <f>'2. NZ ETS cap'!I29/1000</f>
        <v>28.222927333945222</v>
      </c>
      <c r="I47" s="662">
        <f>SUM(D47:H47)</f>
        <v>152.64026169751315</v>
      </c>
      <c r="J47" s="662">
        <f>SUM('2. NZ ETS cap'!E4:I4)/1000-SUM(J39:J43)</f>
        <v>151.91219356460138</v>
      </c>
      <c r="K47" s="474"/>
      <c r="L47" s="474"/>
      <c r="M47" s="474"/>
    </row>
    <row r="48" spans="1:18">
      <c r="A48" s="740"/>
      <c r="B48" s="67" t="s">
        <v>182</v>
      </c>
      <c r="C48" s="664">
        <f>'2. NZ ETS cap'!D33/1000</f>
        <v>-7.3752866270174415</v>
      </c>
      <c r="D48" s="664">
        <f>'2. NZ ETS cap'!E33/1000</f>
        <v>-9.0155135612130355</v>
      </c>
      <c r="E48" s="664">
        <f>'2. NZ ETS cap'!F33/1000</f>
        <v>-10.992333233703652</v>
      </c>
      <c r="F48" s="664">
        <f>'2. NZ ETS cap'!G33/1000</f>
        <v>-12.997494295294592</v>
      </c>
      <c r="G48" s="664">
        <f>'2. NZ ETS cap'!H33/1000</f>
        <v>-14.657662305353293</v>
      </c>
      <c r="H48" s="665">
        <f>'2. NZ ETS cap'!I33/1000</f>
        <v>-15.60014093006385</v>
      </c>
      <c r="I48" s="662">
        <f t="shared" si="0"/>
        <v>-63.263144325628424</v>
      </c>
      <c r="J48" s="662">
        <f>SUM('ERP2 summary'!F8:J8)/1000-J44</f>
        <v>-60.69768239844705</v>
      </c>
      <c r="K48" s="474"/>
      <c r="L48" s="474"/>
      <c r="M48" s="474"/>
    </row>
    <row r="49" spans="1:14">
      <c r="A49" s="729" t="s">
        <v>183</v>
      </c>
      <c r="B49" s="730"/>
      <c r="C49" s="660">
        <f>'2. NZ ETS cap'!D35/1000</f>
        <v>26.183010725387007</v>
      </c>
      <c r="D49" s="660">
        <f>'2. NZ ETS cap'!E35/1000</f>
        <v>23.222629702940278</v>
      </c>
      <c r="E49" s="660">
        <f>'2. NZ ETS cap'!F35/1000</f>
        <v>20.824005765599541</v>
      </c>
      <c r="F49" s="660">
        <f>'2. NZ ETS cap'!G35/1000</f>
        <v>17.595142962500081</v>
      </c>
      <c r="G49" s="660">
        <f>'2. NZ ETS cap'!H35/1000</f>
        <v>15.112552536963477</v>
      </c>
      <c r="H49" s="661">
        <f>'2. NZ ETS cap'!I35/1000</f>
        <v>12.622786403881387</v>
      </c>
      <c r="I49" s="662">
        <f t="shared" si="0"/>
        <v>89.377117371884765</v>
      </c>
      <c r="J49" s="727">
        <v>91.3</v>
      </c>
      <c r="K49" s="160"/>
      <c r="L49" s="160"/>
      <c r="M49" s="160"/>
    </row>
    <row r="50" spans="1:14">
      <c r="A50" s="454" t="s">
        <v>184</v>
      </c>
      <c r="B50" s="454"/>
      <c r="C50" s="666">
        <f>'Current NZ ETS settings'!D7</f>
        <v>25.6</v>
      </c>
      <c r="D50" s="666">
        <f>'Current NZ ETS settings'!E7</f>
        <v>23.4</v>
      </c>
      <c r="E50" s="666">
        <f>'Current NZ ETS settings'!F7</f>
        <v>21.4</v>
      </c>
      <c r="F50" s="666">
        <f>'Current NZ ETS settings'!G7</f>
        <v>19.399999999999999</v>
      </c>
      <c r="G50" s="666">
        <f>'Current NZ ETS settings'!H7</f>
        <v>17.399999999999999</v>
      </c>
      <c r="H50" s="667">
        <f>'Current NZ ETS settings'!I7</f>
        <v>14.5</v>
      </c>
      <c r="I50" s="662">
        <f t="shared" si="0"/>
        <v>96.1</v>
      </c>
      <c r="J50" s="728"/>
      <c r="K50" s="508"/>
      <c r="L50" s="508"/>
      <c r="M50" s="508"/>
    </row>
    <row r="51" spans="1:14">
      <c r="A51" s="324" t="s">
        <v>185</v>
      </c>
      <c r="B51" s="324" t="s">
        <v>186</v>
      </c>
      <c r="C51" s="668">
        <f t="shared" ref="C51:H51" si="2">C46-C39</f>
        <v>3.2292152293215892</v>
      </c>
      <c r="D51" s="668">
        <f t="shared" si="2"/>
        <v>3.3063177906253287</v>
      </c>
      <c r="E51" s="668">
        <f t="shared" si="2"/>
        <v>3.5950918465778798</v>
      </c>
      <c r="F51" s="668">
        <f t="shared" si="2"/>
        <v>3.5674346386256914</v>
      </c>
      <c r="G51" s="668">
        <f t="shared" si="2"/>
        <v>3.5832292554818537</v>
      </c>
      <c r="H51" s="668">
        <f t="shared" si="2"/>
        <v>3.5853202629587884</v>
      </c>
      <c r="I51" s="669">
        <f t="shared" si="0"/>
        <v>17.637393794269542</v>
      </c>
      <c r="J51" s="668"/>
      <c r="K51" s="544"/>
      <c r="L51" s="544"/>
      <c r="M51" s="544"/>
    </row>
    <row r="52" spans="1:14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694" t="s">
        <v>187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72" spans="1:25">
      <c r="A72" s="458"/>
      <c r="B72" s="458"/>
      <c r="C72" s="458"/>
      <c r="D72" s="458"/>
      <c r="E72" s="458"/>
      <c r="F72" s="458"/>
      <c r="G72" s="458"/>
      <c r="H72" s="458"/>
    </row>
    <row r="73" spans="1:25">
      <c r="B73" s="1"/>
      <c r="C73" s="459"/>
      <c r="D73" s="459"/>
      <c r="E73" s="459"/>
      <c r="F73" s="459"/>
      <c r="G73" s="459"/>
      <c r="H73" s="459"/>
      <c r="X73" s="9"/>
    </row>
    <row r="74" spans="1:25">
      <c r="Y74" s="9"/>
    </row>
    <row r="76" spans="1:25">
      <c r="D76" s="9"/>
      <c r="I76" s="9"/>
      <c r="K76" s="9"/>
      <c r="N76" s="289"/>
    </row>
    <row r="77" spans="1:25" s="40" customFormat="1">
      <c r="A77" s="39" t="s">
        <v>154</v>
      </c>
      <c r="D77" s="695"/>
      <c r="I77" s="695"/>
      <c r="K77" s="695"/>
      <c r="N77" s="696"/>
    </row>
    <row r="78" spans="1:25">
      <c r="D78" s="9"/>
      <c r="I78" s="9"/>
      <c r="K78" s="9"/>
      <c r="N78" s="289"/>
    </row>
    <row r="79" spans="1:25">
      <c r="A79" s="1" t="s">
        <v>188</v>
      </c>
      <c r="D79" s="9"/>
      <c r="E79" s="694" t="s">
        <v>189</v>
      </c>
      <c r="I79" s="9"/>
      <c r="J79" s="1" t="s">
        <v>190</v>
      </c>
      <c r="K79" s="9"/>
      <c r="N79" s="289"/>
    </row>
    <row r="80" spans="1:25">
      <c r="D80" s="9"/>
      <c r="I80" s="9"/>
      <c r="K80" s="9"/>
      <c r="N80" s="289"/>
    </row>
    <row r="81" spans="4:14">
      <c r="D81" s="9"/>
      <c r="I81" s="9"/>
      <c r="K81" s="9"/>
      <c r="N81" s="289"/>
    </row>
    <row r="82" spans="4:14">
      <c r="D82" s="9"/>
      <c r="I82" s="9"/>
      <c r="K82" s="9"/>
      <c r="N82" s="289"/>
    </row>
    <row r="83" spans="4:14">
      <c r="D83" s="9"/>
      <c r="I83" s="9"/>
      <c r="K83" s="9"/>
      <c r="N83" s="289"/>
    </row>
    <row r="84" spans="4:14">
      <c r="D84" s="9"/>
      <c r="I84" s="9"/>
      <c r="K84" s="9"/>
      <c r="N84" s="289"/>
    </row>
    <row r="85" spans="4:14">
      <c r="D85" s="9"/>
      <c r="I85" s="9"/>
      <c r="K85" s="9"/>
      <c r="N85" s="289"/>
    </row>
    <row r="86" spans="4:14">
      <c r="D86" s="9"/>
      <c r="I86" s="9"/>
      <c r="K86" s="9"/>
      <c r="N86" s="289"/>
    </row>
    <row r="87" spans="4:14">
      <c r="D87" s="9"/>
      <c r="I87" s="9"/>
      <c r="K87" s="9"/>
      <c r="N87" s="289"/>
    </row>
    <row r="88" spans="4:14">
      <c r="D88" s="9"/>
      <c r="I88" s="9"/>
      <c r="K88" s="9"/>
      <c r="N88" s="289"/>
    </row>
    <row r="89" spans="4:14">
      <c r="D89" s="9"/>
      <c r="I89" s="9"/>
      <c r="K89" s="9"/>
      <c r="N89" s="289"/>
    </row>
    <row r="90" spans="4:14">
      <c r="D90" s="9"/>
      <c r="I90" s="9"/>
      <c r="K90" s="9"/>
      <c r="N90" s="289"/>
    </row>
    <row r="91" spans="4:14">
      <c r="D91" s="9"/>
      <c r="I91" s="9"/>
      <c r="K91" s="9"/>
      <c r="N91" s="289"/>
    </row>
    <row r="92" spans="4:14">
      <c r="D92" s="9"/>
      <c r="I92" s="9"/>
      <c r="K92" s="9"/>
      <c r="N92" s="289"/>
    </row>
    <row r="93" spans="4:14">
      <c r="D93" s="9"/>
      <c r="I93" s="9"/>
      <c r="K93" s="9"/>
      <c r="N93" s="289"/>
    </row>
    <row r="94" spans="4:14">
      <c r="D94" s="9"/>
      <c r="I94" s="9"/>
      <c r="K94" s="9"/>
      <c r="N94" s="289"/>
    </row>
    <row r="95" spans="4:14">
      <c r="D95" s="9"/>
      <c r="I95" s="9"/>
      <c r="K95" s="9"/>
      <c r="N95" s="289"/>
    </row>
    <row r="96" spans="4:14">
      <c r="D96" s="9"/>
      <c r="I96" s="9"/>
      <c r="K96" s="9"/>
      <c r="N96" s="289"/>
    </row>
    <row r="97" spans="1:27">
      <c r="D97" s="9"/>
      <c r="I97" s="9"/>
      <c r="K97" s="9"/>
      <c r="N97" s="289"/>
    </row>
    <row r="98" spans="1:27">
      <c r="D98" s="9"/>
      <c r="I98" s="9"/>
      <c r="K98" s="9"/>
      <c r="N98" s="289"/>
    </row>
    <row r="99" spans="1:27">
      <c r="D99" s="9"/>
      <c r="I99" s="9"/>
      <c r="K99" s="9"/>
      <c r="N99" s="289"/>
    </row>
    <row r="100" spans="1:27">
      <c r="D100" s="9"/>
      <c r="I100" s="9"/>
      <c r="K100" s="9"/>
      <c r="N100" s="289"/>
    </row>
    <row r="101" spans="1:27" s="21" customFormat="1">
      <c r="A101" s="42" t="s">
        <v>191</v>
      </c>
      <c r="O101" s="42"/>
    </row>
    <row r="102" spans="1:27">
      <c r="A102" s="694" t="s">
        <v>192</v>
      </c>
      <c r="O102" s="1"/>
    </row>
    <row r="103" spans="1:27">
      <c r="A103" s="694"/>
      <c r="O103" s="1"/>
    </row>
    <row r="104" spans="1:27">
      <c r="A104" s="254" t="s">
        <v>193</v>
      </c>
      <c r="B104" s="254" t="s">
        <v>194</v>
      </c>
      <c r="C104" s="254">
        <v>2025</v>
      </c>
      <c r="D104" s="254">
        <v>2026</v>
      </c>
      <c r="E104" s="254">
        <v>2027</v>
      </c>
      <c r="F104" s="254">
        <v>2028</v>
      </c>
      <c r="G104" s="254">
        <v>2029</v>
      </c>
      <c r="H104" s="451">
        <v>2030</v>
      </c>
      <c r="I104" s="458"/>
      <c r="J104" s="458"/>
      <c r="K104" s="458"/>
      <c r="L104" s="458"/>
      <c r="M104" s="458"/>
      <c r="O104" s="458"/>
      <c r="P104" s="458"/>
      <c r="Q104" s="458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</row>
    <row r="105" spans="1:27">
      <c r="A105" s="733" t="s">
        <v>195</v>
      </c>
      <c r="B105" s="67" t="str">
        <f>'4. Industrial free allocation'!B49</f>
        <v>Aluminium</v>
      </c>
      <c r="C105" s="256">
        <f>'4. Industrial free allocation'!E49/1000</f>
        <v>1.1622925499999999</v>
      </c>
      <c r="D105" s="256">
        <f>'4. Industrial free allocation'!F49/1000</f>
        <v>1.1486185200000001</v>
      </c>
      <c r="E105" s="256">
        <f>'4. Industrial free allocation'!G49/1000</f>
        <v>1.1349444899999999</v>
      </c>
      <c r="F105" s="256">
        <f>'4. Industrial free allocation'!H49/1000</f>
        <v>1.1212704599999999</v>
      </c>
      <c r="G105" s="256">
        <f>'4. Industrial free allocation'!I49/1000</f>
        <v>1.1075964300000001</v>
      </c>
      <c r="H105" s="453">
        <f>'4. Industrial free allocation'!J49/1000</f>
        <v>1.0939224000000001</v>
      </c>
      <c r="I105" s="401"/>
      <c r="J105" s="401"/>
      <c r="K105" s="401"/>
      <c r="L105" s="401"/>
      <c r="M105" s="401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>
      <c r="A106" s="733"/>
      <c r="B106" s="67" t="str">
        <f>'4. Industrial free allocation'!B50</f>
        <v xml:space="preserve">Cement and lime </v>
      </c>
      <c r="C106" s="256">
        <f>'4. Industrial free allocation'!E50/1000</f>
        <v>0.63933177651999995</v>
      </c>
      <c r="D106" s="256">
        <f>'4. Industrial free allocation'!F50/1000</f>
        <v>0.63181022620799987</v>
      </c>
      <c r="E106" s="256">
        <f>'4. Industrial free allocation'!G50/1000</f>
        <v>0.6242886758959999</v>
      </c>
      <c r="F106" s="256">
        <f>'4. Industrial free allocation'!H50/1000</f>
        <v>0.61676712558399993</v>
      </c>
      <c r="G106" s="256">
        <f>'4. Industrial free allocation'!I50/1000</f>
        <v>0.60924557527199996</v>
      </c>
      <c r="H106" s="453">
        <f>'4. Industrial free allocation'!J50/1000</f>
        <v>0.60172402495999999</v>
      </c>
      <c r="I106" s="401"/>
      <c r="J106" s="401"/>
      <c r="K106" s="401"/>
      <c r="L106" s="401"/>
      <c r="M106" s="401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>
      <c r="A107" s="733"/>
      <c r="B107" s="67" t="str">
        <f>'4. Industrial free allocation'!B51</f>
        <v>Iron and steel</v>
      </c>
      <c r="C107" s="256">
        <f>'4. Industrial free allocation'!E51/1000</f>
        <v>1.5697088733260003</v>
      </c>
      <c r="D107" s="256">
        <f>'4. Industrial free allocation'!F51/1000</f>
        <v>1.3397087496408</v>
      </c>
      <c r="E107" s="256">
        <f>'4. Industrial free allocation'!G51/1000</f>
        <v>1.3237598359546003</v>
      </c>
      <c r="F107" s="256">
        <f>'4. Industrial free allocation'!H51/1000</f>
        <v>1.3078109222684002</v>
      </c>
      <c r="G107" s="256">
        <f>'4. Industrial free allocation'!I51/1000</f>
        <v>1.2918620085822003</v>
      </c>
      <c r="H107" s="453">
        <f>'4. Industrial free allocation'!J51/1000</f>
        <v>1.2759130948960002</v>
      </c>
      <c r="I107" s="401"/>
      <c r="J107" s="401"/>
      <c r="K107" s="401"/>
      <c r="L107" s="401"/>
      <c r="M107" s="401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>
      <c r="A108" s="733"/>
      <c r="B108" s="67" t="str">
        <f>'4. Industrial free allocation'!B52</f>
        <v>Methanol</v>
      </c>
      <c r="C108" s="256">
        <f>'4. Industrial free allocation'!E52/1000</f>
        <v>0.48301790489500002</v>
      </c>
      <c r="D108" s="256">
        <f>'4. Industrial free allocation'!F52/1000</f>
        <v>0.95467068261600008</v>
      </c>
      <c r="E108" s="256">
        <f>'4. Industrial free allocation'!G52/1000</f>
        <v>0.94330555544200001</v>
      </c>
      <c r="F108" s="256">
        <f>'4. Industrial free allocation'!H52/1000</f>
        <v>0.46597021413400003</v>
      </c>
      <c r="G108" s="256">
        <f>'4. Industrial free allocation'!I52/1000</f>
        <v>0.46028765054700005</v>
      </c>
      <c r="H108" s="453">
        <f>'4. Industrial free allocation'!J52/1000</f>
        <v>0</v>
      </c>
      <c r="I108" s="401"/>
      <c r="J108" s="401"/>
      <c r="K108" s="401"/>
      <c r="L108" s="401"/>
      <c r="M108" s="401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>
      <c r="A109" s="733"/>
      <c r="B109" s="67" t="str">
        <f>'4. Industrial free allocation'!B53</f>
        <v>Other - High</v>
      </c>
      <c r="C109" s="256">
        <f>'4. Industrial free allocation'!E53/1000</f>
        <v>1.9287199465000005E-2</v>
      </c>
      <c r="D109" s="256">
        <f>'4. Industrial free allocation'!F53/1000</f>
        <v>1.9060291236000001E-2</v>
      </c>
      <c r="E109" s="256">
        <f>'4. Industrial free allocation'!G53/1000</f>
        <v>1.8833383007000003E-2</v>
      </c>
      <c r="F109" s="256">
        <f>'4. Industrial free allocation'!H53/1000</f>
        <v>1.8606474778000003E-2</v>
      </c>
      <c r="G109" s="256">
        <f>'4. Industrial free allocation'!I53/1000</f>
        <v>1.8379566549000002E-2</v>
      </c>
      <c r="H109" s="453">
        <f>'4. Industrial free allocation'!J53/1000</f>
        <v>1.8152658320000004E-2</v>
      </c>
      <c r="I109" s="401"/>
      <c r="J109" s="401"/>
      <c r="K109" s="401"/>
      <c r="L109" s="401"/>
      <c r="M109" s="401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>
      <c r="A110" s="733"/>
      <c r="B110" s="67" t="str">
        <f>'4. Industrial free allocation'!B54</f>
        <v>Urea</v>
      </c>
      <c r="C110" s="256">
        <f>'4. Industrial free allocation'!E54/1000</f>
        <v>0.32354426145999998</v>
      </c>
      <c r="D110" s="256">
        <f>'4. Industrial free allocation'!F54/1000</f>
        <v>0.31973785838399998</v>
      </c>
      <c r="E110" s="256">
        <f>'4. Industrial free allocation'!G54/1000</f>
        <v>0.31593145530799993</v>
      </c>
      <c r="F110" s="256">
        <f>'4. Industrial free allocation'!H54/1000</f>
        <v>0.31212505223199999</v>
      </c>
      <c r="G110" s="256">
        <f>'4. Industrial free allocation'!I54/1000</f>
        <v>0.30831864915599999</v>
      </c>
      <c r="H110" s="453">
        <f>'4. Industrial free allocation'!J54/1000</f>
        <v>0.30451224607999999</v>
      </c>
      <c r="I110" s="401"/>
      <c r="J110" s="401"/>
      <c r="K110" s="401"/>
      <c r="L110" s="401"/>
      <c r="M110" s="401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>
      <c r="A111" s="733" t="s">
        <v>196</v>
      </c>
      <c r="B111" s="67" t="str">
        <f>'4. Industrial free allocation'!B55</f>
        <v>Dairy products</v>
      </c>
      <c r="C111" s="256">
        <f>'4. Industrial free allocation'!E55/1000</f>
        <v>5.3681028830000005E-2</v>
      </c>
      <c r="D111" s="256">
        <f>'4. Industrial free allocation'!F55/1000</f>
        <v>5.2705010124000001E-2</v>
      </c>
      <c r="E111" s="256">
        <f>'4. Industrial free allocation'!G55/1000</f>
        <v>5.1728991418000005E-2</v>
      </c>
      <c r="F111" s="256">
        <f>'4. Industrial free allocation'!H55/1000</f>
        <v>5.0752972712000001E-2</v>
      </c>
      <c r="G111" s="256">
        <f>'4. Industrial free allocation'!I55/1000</f>
        <v>4.9776954006000004E-2</v>
      </c>
      <c r="H111" s="453">
        <f>'4. Industrial free allocation'!J55/1000</f>
        <v>4.8800935300000001E-2</v>
      </c>
      <c r="I111" s="401"/>
      <c r="J111" s="401"/>
      <c r="K111" s="401"/>
      <c r="L111" s="401"/>
      <c r="M111" s="401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>
      <c r="A112" s="733"/>
      <c r="B112" s="67" t="str">
        <f>'4. Industrial free allocation'!B56</f>
        <v>Horticulture</v>
      </c>
      <c r="C112" s="256">
        <f>'4. Industrial free allocation'!E56/1000</f>
        <v>4.8579196215000002E-2</v>
      </c>
      <c r="D112" s="256">
        <f>'4. Industrial free allocation'!F56/1000</f>
        <v>4.7695938102000006E-2</v>
      </c>
      <c r="E112" s="256">
        <f>'4. Industrial free allocation'!G56/1000</f>
        <v>4.6812679989000003E-2</v>
      </c>
      <c r="F112" s="256">
        <f>'4. Industrial free allocation'!H56/1000</f>
        <v>4.5929421876E-2</v>
      </c>
      <c r="G112" s="256">
        <f>'4. Industrial free allocation'!I56/1000</f>
        <v>4.5046163763000004E-2</v>
      </c>
      <c r="H112" s="453">
        <f>'4. Industrial free allocation'!J56/1000</f>
        <v>4.4162905650000001E-2</v>
      </c>
      <c r="I112" s="401"/>
      <c r="J112" s="401"/>
      <c r="K112" s="401"/>
      <c r="L112" s="401"/>
      <c r="M112" s="401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>
      <c r="A113" s="733"/>
      <c r="B113" s="67" t="str">
        <f>'4. Industrial free allocation'!B57</f>
        <v>Meat products</v>
      </c>
      <c r="C113" s="256">
        <f>'4. Industrial free allocation'!E57/1000</f>
        <v>0.11977431532</v>
      </c>
      <c r="D113" s="256">
        <f>'4. Industrial free allocation'!F57/1000</f>
        <v>0.11759660049600001</v>
      </c>
      <c r="E113" s="256">
        <f>'4. Industrial free allocation'!G57/1000</f>
        <v>0.115418885672</v>
      </c>
      <c r="F113" s="256">
        <f>'4. Industrial free allocation'!H57/1000</f>
        <v>0.11324117084799999</v>
      </c>
      <c r="G113" s="256">
        <f>'4. Industrial free allocation'!I57/1000</f>
        <v>0.111063456024</v>
      </c>
      <c r="H113" s="453">
        <f>'4. Industrial free allocation'!J57/1000</f>
        <v>0.1088857412</v>
      </c>
      <c r="I113" s="401"/>
      <c r="J113" s="401"/>
      <c r="K113" s="401"/>
      <c r="L113" s="401"/>
      <c r="M113" s="401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>
      <c r="A114" s="733"/>
      <c r="B114" s="67" t="str">
        <f>'4. Industrial free allocation'!B58</f>
        <v>Other - Low</v>
      </c>
      <c r="C114" s="256">
        <f>'4. Industrial free allocation'!E58/1000</f>
        <v>0.15528003265499998</v>
      </c>
      <c r="D114" s="256">
        <f>'4. Industrial free allocation'!F58/1000</f>
        <v>0.15245675933399999</v>
      </c>
      <c r="E114" s="256">
        <f>'4. Industrial free allocation'!G58/1000</f>
        <v>0.14963348601299997</v>
      </c>
      <c r="F114" s="256">
        <f>'4. Industrial free allocation'!H58/1000</f>
        <v>0.14681021269199995</v>
      </c>
      <c r="G114" s="256">
        <f>'4. Industrial free allocation'!I58/1000</f>
        <v>0.14398693937099999</v>
      </c>
      <c r="H114" s="453">
        <f>'4. Industrial free allocation'!J58/1000</f>
        <v>0.14116366605</v>
      </c>
      <c r="I114" s="401"/>
      <c r="J114" s="401"/>
      <c r="K114" s="401"/>
      <c r="L114" s="401"/>
      <c r="M114" s="401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>
      <c r="A115" s="733"/>
      <c r="B115" s="67" t="str">
        <f>'4. Industrial free allocation'!B59</f>
        <v>Pulp and paper products</v>
      </c>
      <c r="C115" s="256">
        <f>'4. Industrial free allocation'!E59/1000</f>
        <v>0.55757460067085529</v>
      </c>
      <c r="D115" s="256">
        <f>'4. Industrial free allocation'!F59/1000</f>
        <v>0.3649579204391053</v>
      </c>
      <c r="E115" s="256">
        <f>'4. Industrial free allocation'!G59/1000</f>
        <v>0.35819944043097374</v>
      </c>
      <c r="F115" s="256">
        <f>'4. Industrial free allocation'!H59/1000</f>
        <v>0.35144096042284212</v>
      </c>
      <c r="G115" s="256">
        <f>'4. Industrial free allocation'!I59/1000</f>
        <v>0.34468248041471056</v>
      </c>
      <c r="H115" s="453">
        <f>'4. Industrial free allocation'!J59/1000</f>
        <v>0.33792400040657894</v>
      </c>
      <c r="I115" s="401"/>
      <c r="J115" s="401"/>
      <c r="K115" s="401"/>
      <c r="L115" s="401"/>
      <c r="M115" s="401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>
      <c r="A116" s="729" t="s">
        <v>197</v>
      </c>
      <c r="B116" s="730"/>
      <c r="C116" s="255">
        <f>SUM(C105:C115)</f>
        <v>5.1320717393568547</v>
      </c>
      <c r="D116" s="255">
        <f t="shared" ref="D116:H116" si="3">SUM(D105:D115)</f>
        <v>5.1490185565799056</v>
      </c>
      <c r="E116" s="255">
        <f t="shared" si="3"/>
        <v>5.0828568791305742</v>
      </c>
      <c r="F116" s="255">
        <f t="shared" si="3"/>
        <v>4.550724987547242</v>
      </c>
      <c r="G116" s="255">
        <f t="shared" si="3"/>
        <v>4.49024587368491</v>
      </c>
      <c r="H116" s="452">
        <f t="shared" si="3"/>
        <v>3.9751616728625789</v>
      </c>
      <c r="I116" s="160"/>
      <c r="J116" s="160"/>
      <c r="K116" s="160"/>
      <c r="L116" s="160"/>
      <c r="M116" s="160"/>
      <c r="P116" s="1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>
      <c r="A117" s="67"/>
      <c r="B117" s="67" t="s">
        <v>198</v>
      </c>
      <c r="C117" s="421">
        <f>'4. Industrial free allocation'!E66</f>
        <v>6</v>
      </c>
      <c r="D117" s="421">
        <f>'4. Industrial free allocation'!F66</f>
        <v>5.7</v>
      </c>
      <c r="E117" s="421">
        <f>'4. Industrial free allocation'!G66</f>
        <v>5.7</v>
      </c>
      <c r="F117" s="421">
        <f>'4. Industrial free allocation'!H66</f>
        <v>5.6</v>
      </c>
      <c r="G117" s="421">
        <f>'4. Industrial free allocation'!I66</f>
        <v>5.5</v>
      </c>
      <c r="H117" s="634">
        <f>'4. Industrial free allocation'!J66</f>
        <v>5.0999999999999996</v>
      </c>
      <c r="I117" s="7"/>
      <c r="J117" s="7"/>
      <c r="K117" s="7"/>
      <c r="L117" s="7"/>
      <c r="M117" s="7"/>
      <c r="P117" s="1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>
      <c r="A118" s="67"/>
      <c r="B118" s="67" t="s">
        <v>199</v>
      </c>
      <c r="C118" s="419">
        <f>C116-C117</f>
        <v>-0.86792826064314532</v>
      </c>
      <c r="D118" s="419">
        <f t="shared" ref="D118:H118" si="4">D116-D117</f>
        <v>-0.55098144342009459</v>
      </c>
      <c r="E118" s="419">
        <f t="shared" si="4"/>
        <v>-0.61714312086942602</v>
      </c>
      <c r="F118" s="419">
        <f t="shared" si="4"/>
        <v>-1.0492750124527577</v>
      </c>
      <c r="G118" s="419">
        <f t="shared" si="4"/>
        <v>-1.00975412631509</v>
      </c>
      <c r="H118" s="635">
        <f t="shared" si="4"/>
        <v>-1.1248383271374207</v>
      </c>
      <c r="I118" s="9"/>
      <c r="J118" s="9"/>
      <c r="K118" s="9"/>
      <c r="L118" s="9"/>
      <c r="M118" s="9"/>
      <c r="P118" s="1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>
      <c r="A119" s="508" t="s">
        <v>200</v>
      </c>
      <c r="B119" s="508" t="s">
        <v>201</v>
      </c>
      <c r="C119" s="543">
        <f t="shared" ref="C119:H119" si="5">C116-SUM(C105:C108)-C115</f>
        <v>0.72014603394499921</v>
      </c>
      <c r="D119" s="543">
        <f t="shared" si="5"/>
        <v>0.70925245767599998</v>
      </c>
      <c r="E119" s="543">
        <f t="shared" si="5"/>
        <v>0.6983588814070002</v>
      </c>
      <c r="F119" s="543">
        <f t="shared" si="5"/>
        <v>0.68746530513799997</v>
      </c>
      <c r="G119" s="543">
        <f t="shared" si="5"/>
        <v>0.67657172886899919</v>
      </c>
      <c r="H119" s="543">
        <f t="shared" si="5"/>
        <v>0.66567815259999996</v>
      </c>
      <c r="I119" s="543"/>
      <c r="J119" s="543"/>
      <c r="K119" s="543"/>
      <c r="L119" s="543"/>
      <c r="M119" s="543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1" spans="1:27">
      <c r="A121" s="694" t="s">
        <v>202</v>
      </c>
    </row>
    <row r="122" spans="1:27">
      <c r="K122" s="33"/>
    </row>
    <row r="145" spans="1:2" s="16" customFormat="1">
      <c r="A145" s="26" t="s">
        <v>203</v>
      </c>
    </row>
    <row r="147" spans="1:2">
      <c r="A147" s="694" t="s">
        <v>204</v>
      </c>
    </row>
    <row r="148" spans="1:2" ht="30">
      <c r="A148" s="500" t="s">
        <v>205</v>
      </c>
      <c r="B148" s="500" t="s">
        <v>206</v>
      </c>
    </row>
    <row r="149" spans="1:2">
      <c r="A149" s="67">
        <v>2017</v>
      </c>
      <c r="B149" s="698">
        <f>AVERAGE('P90 units held long-term'!D6:D8)</f>
        <v>3.2320719639763122E-2</v>
      </c>
    </row>
    <row r="150" spans="1:2">
      <c r="A150" s="67">
        <f t="shared" ref="A150:A156" si="6">A149+1</f>
        <v>2018</v>
      </c>
      <c r="B150" s="698">
        <f>AVERAGE('P90 units held long-term'!D9:D12)</f>
        <v>5.1417184087314174E-2</v>
      </c>
    </row>
    <row r="151" spans="1:2">
      <c r="A151" s="67">
        <f t="shared" si="6"/>
        <v>2019</v>
      </c>
      <c r="B151" s="698">
        <f>AVERAGE('P90 units held long-term'!D13:D16)</f>
        <v>4.2460628098656195E-2</v>
      </c>
    </row>
    <row r="152" spans="1:2">
      <c r="A152" s="67">
        <f t="shared" si="6"/>
        <v>2020</v>
      </c>
      <c r="B152" s="698">
        <f>AVERAGE('P90 units held long-term'!D17:D20)</f>
        <v>4.6580984328713208E-2</v>
      </c>
    </row>
    <row r="153" spans="1:2">
      <c r="A153" s="67">
        <f t="shared" si="6"/>
        <v>2021</v>
      </c>
      <c r="B153" s="698">
        <f>AVERAGE('P90 units held long-term'!D21:D24)</f>
        <v>-2.2174151643464452E-3</v>
      </c>
    </row>
    <row r="154" spans="1:2">
      <c r="A154" s="67">
        <f t="shared" si="6"/>
        <v>2022</v>
      </c>
      <c r="B154" s="698">
        <f>AVERAGE('P90 units held long-term'!D25:D28)</f>
        <v>2.9463196249532916E-2</v>
      </c>
    </row>
    <row r="155" spans="1:2">
      <c r="A155" s="67">
        <f t="shared" si="6"/>
        <v>2023</v>
      </c>
      <c r="B155" s="698">
        <f>AVERAGE('P90 units held long-term'!D29:D32)</f>
        <v>2.5119117990930799E-2</v>
      </c>
    </row>
    <row r="156" spans="1:2">
      <c r="A156" s="67">
        <f t="shared" si="6"/>
        <v>2024</v>
      </c>
      <c r="B156" s="698">
        <f>AVERAGE('P90 units held long-term'!D33:D36)</f>
        <v>3.5153577985302394E-2</v>
      </c>
    </row>
    <row r="158" spans="1:2">
      <c r="A158" s="1" t="s">
        <v>207</v>
      </c>
    </row>
    <row r="183" spans="1:6">
      <c r="A183" s="1" t="s">
        <v>208</v>
      </c>
    </row>
    <row r="184" spans="1:6">
      <c r="A184" s="254" t="s">
        <v>209</v>
      </c>
      <c r="B184" s="254">
        <v>26</v>
      </c>
      <c r="C184" s="254">
        <v>27</v>
      </c>
      <c r="D184" s="254">
        <v>28</v>
      </c>
      <c r="E184" s="254">
        <v>29</v>
      </c>
      <c r="F184" s="254">
        <v>30</v>
      </c>
    </row>
    <row r="185" spans="1:6">
      <c r="A185" s="67" t="s">
        <v>210</v>
      </c>
      <c r="B185" s="420">
        <v>0.1881050840783102</v>
      </c>
      <c r="C185" s="420">
        <v>0.23073815022547076</v>
      </c>
      <c r="D185" s="420">
        <v>0.21691343197698382</v>
      </c>
      <c r="E185" s="420">
        <v>0.19515830175744078</v>
      </c>
      <c r="F185" s="420">
        <v>0.1690850319617945</v>
      </c>
    </row>
    <row r="188" spans="1:6">
      <c r="A188" s="694" t="s">
        <v>211</v>
      </c>
    </row>
    <row r="208" spans="2:79">
      <c r="B208" s="579">
        <v>1</v>
      </c>
      <c r="C208" s="579">
        <v>2</v>
      </c>
      <c r="D208" s="579">
        <v>3</v>
      </c>
      <c r="E208" s="579">
        <v>4</v>
      </c>
      <c r="F208" s="579">
        <v>5</v>
      </c>
      <c r="G208" s="579">
        <v>6</v>
      </c>
      <c r="H208" s="579">
        <v>7</v>
      </c>
      <c r="I208" s="579">
        <v>8</v>
      </c>
      <c r="J208" s="579">
        <v>9</v>
      </c>
      <c r="K208" s="579">
        <v>10</v>
      </c>
      <c r="L208" s="579">
        <v>11</v>
      </c>
      <c r="M208" s="579">
        <v>12</v>
      </c>
      <c r="N208" s="579">
        <v>13</v>
      </c>
      <c r="O208" s="579">
        <v>14</v>
      </c>
      <c r="P208" s="579">
        <v>15</v>
      </c>
      <c r="Q208" s="579">
        <v>16</v>
      </c>
      <c r="R208" s="579">
        <v>17</v>
      </c>
      <c r="S208" s="579">
        <v>18</v>
      </c>
      <c r="T208" s="579">
        <v>19</v>
      </c>
      <c r="U208" s="579">
        <v>20</v>
      </c>
      <c r="V208" s="579">
        <v>21</v>
      </c>
      <c r="W208" s="579">
        <v>22</v>
      </c>
      <c r="X208" s="579">
        <v>23</v>
      </c>
      <c r="Y208" s="579">
        <v>24</v>
      </c>
      <c r="Z208" s="579">
        <v>25</v>
      </c>
      <c r="AA208" s="579">
        <v>26</v>
      </c>
      <c r="AB208" s="579">
        <v>27</v>
      </c>
      <c r="AC208" s="579">
        <v>28</v>
      </c>
      <c r="AD208" s="579">
        <v>29</v>
      </c>
      <c r="AE208" s="579">
        <v>30</v>
      </c>
      <c r="AF208" s="579">
        <v>31</v>
      </c>
      <c r="AG208" s="579">
        <v>32</v>
      </c>
      <c r="AH208" s="579">
        <v>33</v>
      </c>
      <c r="AI208" s="579">
        <v>34</v>
      </c>
      <c r="AJ208" s="579">
        <v>35</v>
      </c>
      <c r="AK208" s="579">
        <v>36</v>
      </c>
      <c r="AL208" s="579">
        <v>37</v>
      </c>
      <c r="AM208" s="579">
        <v>38</v>
      </c>
      <c r="AN208" s="579">
        <v>39</v>
      </c>
      <c r="AO208" s="579">
        <v>40</v>
      </c>
      <c r="AP208" s="579">
        <v>41</v>
      </c>
      <c r="AQ208" s="579">
        <v>42</v>
      </c>
      <c r="AR208" s="579">
        <v>43</v>
      </c>
      <c r="AS208" s="579">
        <v>44</v>
      </c>
      <c r="AT208" s="579">
        <v>45</v>
      </c>
      <c r="AU208" s="579">
        <v>46</v>
      </c>
      <c r="AV208" s="579">
        <v>47</v>
      </c>
      <c r="AW208" s="579">
        <v>48</v>
      </c>
      <c r="AX208" s="579">
        <v>49</v>
      </c>
      <c r="AY208" s="579">
        <v>50</v>
      </c>
      <c r="AZ208" s="579">
        <v>51</v>
      </c>
      <c r="BA208" s="579">
        <v>52</v>
      </c>
      <c r="BB208" s="579">
        <v>53</v>
      </c>
      <c r="BC208" s="579">
        <v>54</v>
      </c>
      <c r="BD208" s="579">
        <v>55</v>
      </c>
      <c r="BE208" s="579">
        <v>56</v>
      </c>
      <c r="BF208" s="579">
        <v>57</v>
      </c>
      <c r="BG208" s="579">
        <v>58</v>
      </c>
      <c r="BH208" s="579">
        <v>59</v>
      </c>
      <c r="BI208" s="579">
        <v>60</v>
      </c>
      <c r="BJ208" s="579">
        <v>61</v>
      </c>
      <c r="BK208" s="579">
        <v>62</v>
      </c>
      <c r="BL208" s="579">
        <v>63</v>
      </c>
      <c r="BM208" s="579">
        <v>64</v>
      </c>
      <c r="BN208" s="579">
        <v>65</v>
      </c>
      <c r="BO208" s="579">
        <v>66</v>
      </c>
      <c r="BP208" s="579">
        <v>67</v>
      </c>
      <c r="BQ208" s="579">
        <v>68</v>
      </c>
      <c r="BR208" s="579">
        <v>69</v>
      </c>
      <c r="BS208" s="579">
        <v>70</v>
      </c>
      <c r="BT208" s="579">
        <v>71</v>
      </c>
      <c r="BU208" s="579">
        <v>72</v>
      </c>
      <c r="BV208" s="579">
        <v>73</v>
      </c>
      <c r="BW208" s="579">
        <v>74</v>
      </c>
      <c r="BX208" s="579">
        <v>75</v>
      </c>
      <c r="BY208" s="579">
        <v>76</v>
      </c>
      <c r="BZ208" s="579">
        <v>77</v>
      </c>
      <c r="CA208" s="579">
        <v>78</v>
      </c>
    </row>
    <row r="209" spans="1:79">
      <c r="A209" t="s">
        <v>212</v>
      </c>
      <c r="B209" s="125">
        <v>4.0000000000000002E-4</v>
      </c>
      <c r="C209" s="125">
        <v>2.8E-3</v>
      </c>
      <c r="D209" s="125">
        <v>1.0200000000000001E-2</v>
      </c>
      <c r="E209" s="125">
        <v>3.6299999999999999E-2</v>
      </c>
      <c r="F209" s="125">
        <v>9.4000000000000028E-2</v>
      </c>
      <c r="G209" s="125">
        <v>0.19350000000000001</v>
      </c>
      <c r="H209" s="125">
        <v>0.33889999999999998</v>
      </c>
      <c r="I209" s="125">
        <v>0.52669999999999995</v>
      </c>
      <c r="J209" s="125">
        <v>0.748</v>
      </c>
      <c r="K209" s="125">
        <v>0.99950000000000006</v>
      </c>
      <c r="L209" s="125">
        <v>1.2805000000000002</v>
      </c>
      <c r="M209" s="125">
        <v>1.5933000000000002</v>
      </c>
      <c r="N209" s="125">
        <v>1.9402000000000004</v>
      </c>
      <c r="O209" s="125">
        <v>2.3233999999999995</v>
      </c>
      <c r="P209" s="125">
        <v>2.7448000000000001</v>
      </c>
      <c r="Q209" s="125">
        <v>3.2059000000000002</v>
      </c>
      <c r="R209" s="125">
        <v>3.7077000000000009</v>
      </c>
      <c r="S209" s="125">
        <v>4.2505999999999995</v>
      </c>
      <c r="T209" s="125">
        <v>4.8347999999999995</v>
      </c>
      <c r="U209" s="125">
        <v>5.4602999999999993</v>
      </c>
      <c r="V209" s="125">
        <v>6.1264999999999992</v>
      </c>
      <c r="W209" s="125">
        <v>6.8333999999999984</v>
      </c>
      <c r="X209" s="125">
        <v>7.5807999999999982</v>
      </c>
      <c r="Y209" s="125">
        <v>8.3683999999999994</v>
      </c>
      <c r="Z209" s="125">
        <v>9.195999999999998</v>
      </c>
      <c r="AA209" s="125">
        <v>10.062999999999997</v>
      </c>
      <c r="AB209" s="125">
        <v>10.968999999999996</v>
      </c>
      <c r="AC209" s="125">
        <v>11.913499999999996</v>
      </c>
      <c r="AD209" s="125">
        <v>12.257009999999996</v>
      </c>
      <c r="AE209" s="125">
        <v>12.564528999999997</v>
      </c>
      <c r="AF209" s="125">
        <v>12.834656999999998</v>
      </c>
      <c r="AG209" s="125">
        <v>13.056693999999998</v>
      </c>
      <c r="AH209" s="125">
        <v>13.231439999999997</v>
      </c>
      <c r="AI209" s="125">
        <v>13.361594999999996</v>
      </c>
      <c r="AJ209" s="125">
        <v>13.453258999999997</v>
      </c>
      <c r="AK209" s="125">
        <v>13.514031999999998</v>
      </c>
      <c r="AL209" s="125">
        <v>13.549314000000001</v>
      </c>
      <c r="AM209" s="125">
        <v>13.553504999999999</v>
      </c>
      <c r="AN209" s="125">
        <v>13.524004999999999</v>
      </c>
      <c r="AO209" s="125">
        <v>13.492205</v>
      </c>
      <c r="AP209" s="125">
        <v>13.458105000000002</v>
      </c>
      <c r="AQ209" s="125">
        <v>13.421805000000001</v>
      </c>
      <c r="AR209" s="125">
        <v>13.383604999999999</v>
      </c>
      <c r="AS209" s="125">
        <v>13.343904999999999</v>
      </c>
      <c r="AT209" s="125">
        <v>13.303205</v>
      </c>
      <c r="AU209" s="125">
        <v>13.262105</v>
      </c>
      <c r="AV209" s="125">
        <v>13.220805</v>
      </c>
      <c r="AW209" s="125">
        <v>13.179505000000001</v>
      </c>
      <c r="AX209" s="125">
        <v>13.138805</v>
      </c>
      <c r="AY209" s="125">
        <v>13.098105000000002</v>
      </c>
      <c r="AZ209" s="125">
        <v>13.057605000000001</v>
      </c>
      <c r="BA209" s="125">
        <v>13.017405</v>
      </c>
      <c r="BB209" s="125">
        <v>12.977405000000001</v>
      </c>
      <c r="BC209" s="125">
        <v>12.938005000000002</v>
      </c>
      <c r="BD209" s="125">
        <v>12.899005000000001</v>
      </c>
      <c r="BE209" s="125">
        <v>12.860505000000002</v>
      </c>
      <c r="BF209" s="125">
        <v>13.461095000000002</v>
      </c>
      <c r="BG209" s="125">
        <v>13.495086000000001</v>
      </c>
      <c r="BH209" s="125">
        <v>13.527477000000001</v>
      </c>
      <c r="BI209" s="125">
        <v>13.556868</v>
      </c>
      <c r="BJ209" s="125">
        <v>13.572559000000002</v>
      </c>
      <c r="BK209" s="125">
        <v>13.57535</v>
      </c>
      <c r="BL209" s="125">
        <v>13.567940999999999</v>
      </c>
      <c r="BM209" s="125">
        <v>13.556432000000001</v>
      </c>
      <c r="BN209" s="125">
        <v>13.548423000000001</v>
      </c>
      <c r="BO209" s="125">
        <v>13.549314000000001</v>
      </c>
      <c r="BP209" s="125">
        <v>13.553504999999999</v>
      </c>
      <c r="BQ209" s="125">
        <v>13.524004999999999</v>
      </c>
      <c r="BR209" s="125">
        <v>13.492205</v>
      </c>
      <c r="BS209" s="125">
        <v>13.458105000000002</v>
      </c>
      <c r="BT209" s="125">
        <v>13.421805000000001</v>
      </c>
      <c r="BU209" s="125">
        <v>13.383604999999999</v>
      </c>
      <c r="BV209" s="125">
        <v>13.343904999999999</v>
      </c>
      <c r="BW209" s="125">
        <v>13.303205</v>
      </c>
      <c r="BX209" s="125">
        <v>13.262105</v>
      </c>
      <c r="BY209" s="125">
        <v>13.220805</v>
      </c>
      <c r="BZ209" s="125">
        <v>13.179505000000001</v>
      </c>
      <c r="CA209" s="125">
        <v>13.138805</v>
      </c>
    </row>
    <row r="210" spans="1:79">
      <c r="A210" t="s">
        <v>213</v>
      </c>
      <c r="B210" s="125">
        <v>1.1200000000000002E-2</v>
      </c>
      <c r="C210" s="125">
        <v>6.720000000000001E-2</v>
      </c>
      <c r="D210" s="125">
        <v>0.20720000000000002</v>
      </c>
      <c r="E210" s="125">
        <v>0.73080000000000012</v>
      </c>
      <c r="F210" s="125">
        <v>1.6156000000000001</v>
      </c>
      <c r="G210" s="125">
        <v>2.786</v>
      </c>
      <c r="H210" s="125">
        <v>4.0712000000000002</v>
      </c>
      <c r="I210" s="125">
        <v>5.2584000000000009</v>
      </c>
      <c r="J210" s="125">
        <v>6.1964000000000006</v>
      </c>
      <c r="K210" s="125">
        <v>7.0419999999999998</v>
      </c>
      <c r="L210" s="125">
        <v>7.8680000000000003</v>
      </c>
      <c r="M210" s="125">
        <v>8.7584</v>
      </c>
      <c r="N210" s="125">
        <v>9.7131999999999987</v>
      </c>
      <c r="O210" s="125">
        <v>10.7296</v>
      </c>
      <c r="P210" s="125">
        <v>11.799199999999999</v>
      </c>
      <c r="Q210" s="125">
        <v>12.910800000000002</v>
      </c>
      <c r="R210" s="125">
        <v>14.0504</v>
      </c>
      <c r="S210" s="125">
        <v>15.201199999999998</v>
      </c>
      <c r="T210" s="125">
        <v>16.357600000000001</v>
      </c>
      <c r="U210" s="125">
        <v>17.513999999999999</v>
      </c>
      <c r="V210" s="125">
        <v>18.653600000000001</v>
      </c>
      <c r="W210" s="125">
        <v>19.793200000000002</v>
      </c>
      <c r="X210" s="125">
        <v>20.927199999999999</v>
      </c>
      <c r="Y210" s="125">
        <v>22.052799999999998</v>
      </c>
      <c r="Z210" s="125">
        <v>23.172799999999999</v>
      </c>
      <c r="AA210" s="125">
        <v>24.276</v>
      </c>
      <c r="AB210" s="125">
        <v>25.367999999999999</v>
      </c>
      <c r="AC210" s="125">
        <v>26.446000000000002</v>
      </c>
      <c r="AD210" s="125">
        <v>9.6294799999999992</v>
      </c>
      <c r="AE210" s="125">
        <v>8.6777320000000007</v>
      </c>
      <c r="AF210" s="125">
        <v>7.770783999999999</v>
      </c>
      <c r="AG210" s="125">
        <v>6.9478359999999997</v>
      </c>
      <c r="AH210" s="125">
        <v>6.5084879999999989</v>
      </c>
      <c r="AI210" s="125">
        <v>6.4303399999999993</v>
      </c>
      <c r="AJ210" s="125">
        <v>6.6377919999999992</v>
      </c>
      <c r="AK210" s="125">
        <v>6.9600439999999999</v>
      </c>
      <c r="AL210" s="125">
        <v>7.1842960000000007</v>
      </c>
      <c r="AM210" s="125">
        <v>7.1593479999999996</v>
      </c>
      <c r="AN210" s="125">
        <v>7.0419999999999998</v>
      </c>
      <c r="AO210" s="125">
        <v>7.8680000000000003</v>
      </c>
      <c r="AP210" s="125">
        <v>8.7584</v>
      </c>
      <c r="AQ210" s="125">
        <v>9.7131999999999987</v>
      </c>
      <c r="AR210" s="125">
        <v>10.7296</v>
      </c>
      <c r="AS210" s="125">
        <v>11.799199999999999</v>
      </c>
      <c r="AT210" s="125">
        <v>12.910800000000002</v>
      </c>
      <c r="AU210" s="125">
        <v>14.0504</v>
      </c>
      <c r="AV210" s="125">
        <v>15.201199999999998</v>
      </c>
      <c r="AW210" s="125">
        <v>16.357600000000001</v>
      </c>
      <c r="AX210" s="125">
        <v>17.513999999999999</v>
      </c>
      <c r="AY210" s="125">
        <v>18.653600000000001</v>
      </c>
      <c r="AZ210" s="125">
        <v>19.793200000000002</v>
      </c>
      <c r="BA210" s="125">
        <v>20.927199999999999</v>
      </c>
      <c r="BB210" s="125">
        <v>22.052799999999998</v>
      </c>
      <c r="BC210" s="125">
        <v>23.172799999999999</v>
      </c>
      <c r="BD210" s="125">
        <v>24.276</v>
      </c>
      <c r="BE210" s="125">
        <v>25.367999999999999</v>
      </c>
      <c r="BF210" s="125">
        <v>26.446000000000002</v>
      </c>
      <c r="BG210" s="125">
        <v>9.6294799999999992</v>
      </c>
      <c r="BH210" s="125">
        <v>8.6777320000000007</v>
      </c>
      <c r="BI210" s="125">
        <v>7.770783999999999</v>
      </c>
      <c r="BJ210" s="125">
        <v>6.9478359999999997</v>
      </c>
      <c r="BK210" s="125">
        <v>6.5084879999999989</v>
      </c>
      <c r="BL210" s="125">
        <v>6.4303399999999993</v>
      </c>
      <c r="BM210" s="125">
        <v>6.6377919999999992</v>
      </c>
      <c r="BN210" s="125">
        <v>6.9600439999999999</v>
      </c>
      <c r="BO210" s="125">
        <v>7.1842960000000007</v>
      </c>
      <c r="BP210" s="125">
        <v>7.1593479999999996</v>
      </c>
      <c r="BQ210" s="125">
        <v>7.0419999999999998</v>
      </c>
      <c r="BR210" s="125">
        <v>7.8680000000000003</v>
      </c>
      <c r="BS210" s="125">
        <v>8.7584</v>
      </c>
      <c r="BT210" s="125">
        <v>9.7131999999999987</v>
      </c>
      <c r="BU210" s="125">
        <v>10.7296</v>
      </c>
      <c r="BV210" s="125">
        <v>11.799199999999999</v>
      </c>
      <c r="BW210" s="125">
        <v>12.910800000000002</v>
      </c>
      <c r="BX210" s="125">
        <v>14.0504</v>
      </c>
      <c r="BY210" s="125">
        <v>15.201199999999998</v>
      </c>
      <c r="BZ210" s="125">
        <v>16.357600000000001</v>
      </c>
      <c r="CA210" s="125">
        <v>17.513999999999999</v>
      </c>
    </row>
    <row r="211" spans="1:79">
      <c r="A211" t="s">
        <v>214</v>
      </c>
      <c r="B211" s="125">
        <v>5.6000000000000008E-3</v>
      </c>
      <c r="C211" s="125">
        <v>3.3600000000000005E-2</v>
      </c>
      <c r="D211" s="125">
        <v>0.10360000000000001</v>
      </c>
      <c r="E211" s="125">
        <v>0.36540000000000006</v>
      </c>
      <c r="F211" s="125">
        <v>0.80780000000000007</v>
      </c>
      <c r="G211" s="125">
        <v>1.393</v>
      </c>
      <c r="H211" s="125">
        <v>2.0356000000000001</v>
      </c>
      <c r="I211" s="125">
        <v>2.6292000000000004</v>
      </c>
      <c r="J211" s="125">
        <v>3.0982000000000003</v>
      </c>
      <c r="K211" s="125">
        <v>3.5209999999999999</v>
      </c>
      <c r="L211" s="125">
        <v>3.9340000000000002</v>
      </c>
      <c r="M211" s="125">
        <v>4.3792</v>
      </c>
      <c r="N211" s="125">
        <v>4.8565999999999994</v>
      </c>
      <c r="O211" s="125">
        <v>5.3647999999999998</v>
      </c>
      <c r="P211" s="125">
        <v>5.8995999999999995</v>
      </c>
      <c r="Q211" s="125">
        <v>6.4610000000000012</v>
      </c>
      <c r="R211" s="125">
        <v>7.0587999999999997</v>
      </c>
      <c r="S211" s="125">
        <v>7.7042000000000002</v>
      </c>
      <c r="T211" s="125">
        <v>8.5442</v>
      </c>
      <c r="U211" s="125">
        <v>9.5648</v>
      </c>
      <c r="V211" s="125">
        <v>10.719800000000001</v>
      </c>
      <c r="W211" s="125">
        <v>11.9322</v>
      </c>
      <c r="X211" s="125">
        <v>13.0928</v>
      </c>
      <c r="Y211" s="125">
        <v>14.124600000000001</v>
      </c>
      <c r="Z211" s="125">
        <v>15.1074</v>
      </c>
      <c r="AA211" s="125">
        <v>16.071999999999999</v>
      </c>
      <c r="AB211" s="125">
        <v>17.063200000000002</v>
      </c>
      <c r="AC211" s="125">
        <v>18.079599999999999</v>
      </c>
      <c r="AD211" s="125">
        <v>10.179540000000001</v>
      </c>
      <c r="AE211" s="125">
        <v>10.238466000000001</v>
      </c>
      <c r="AF211" s="125">
        <v>10.340791999999999</v>
      </c>
      <c r="AG211" s="125">
        <v>10.499117999999999</v>
      </c>
      <c r="AH211" s="125">
        <v>10.854844</v>
      </c>
      <c r="AI211" s="125">
        <v>11.393970000000001</v>
      </c>
      <c r="AJ211" s="125">
        <v>12.075896</v>
      </c>
      <c r="AK211" s="125">
        <v>12.806822</v>
      </c>
      <c r="AL211" s="125">
        <v>13.488747999999999</v>
      </c>
      <c r="AM211" s="125">
        <v>14.043274000000002</v>
      </c>
      <c r="AN211" s="125">
        <v>14.5474</v>
      </c>
      <c r="AO211" s="125">
        <v>15.5204</v>
      </c>
      <c r="AP211" s="125">
        <v>16.517199999999999</v>
      </c>
      <c r="AQ211" s="125">
        <v>17.540599999999998</v>
      </c>
      <c r="AR211" s="125">
        <v>18.587799999999998</v>
      </c>
      <c r="AS211" s="125">
        <v>10.71434</v>
      </c>
      <c r="AT211" s="125">
        <v>10.794266</v>
      </c>
      <c r="AU211" s="125">
        <v>10.910591999999999</v>
      </c>
      <c r="AV211" s="125">
        <v>11.074517999999999</v>
      </c>
      <c r="AW211" s="125">
        <v>11.433044000000002</v>
      </c>
      <c r="AX211" s="125">
        <v>11.97217</v>
      </c>
      <c r="AY211" s="125">
        <v>12.645695999999999</v>
      </c>
      <c r="AZ211" s="125">
        <v>13.376621999999999</v>
      </c>
      <c r="BA211" s="125">
        <v>14.055747999999999</v>
      </c>
      <c r="BB211" s="125">
        <v>14.606074000000001</v>
      </c>
      <c r="BC211" s="125">
        <v>15.1074</v>
      </c>
      <c r="BD211" s="125">
        <v>16.071999999999999</v>
      </c>
      <c r="BE211" s="125">
        <v>17.063200000000002</v>
      </c>
      <c r="BF211" s="125">
        <v>18.079599999999999</v>
      </c>
      <c r="BG211" s="125">
        <v>10.179540000000001</v>
      </c>
      <c r="BH211" s="125">
        <v>10.238466000000001</v>
      </c>
      <c r="BI211" s="125">
        <v>10.340791999999999</v>
      </c>
      <c r="BJ211" s="125">
        <v>10.499117999999999</v>
      </c>
      <c r="BK211" s="125">
        <v>10.854844</v>
      </c>
      <c r="BL211" s="125">
        <v>11.393970000000001</v>
      </c>
      <c r="BM211" s="125">
        <v>12.075896</v>
      </c>
      <c r="BN211" s="125">
        <v>12.806822</v>
      </c>
      <c r="BO211" s="125">
        <v>13.488747999999999</v>
      </c>
      <c r="BP211" s="125">
        <v>14.043274000000002</v>
      </c>
      <c r="BQ211" s="125">
        <v>14.5474</v>
      </c>
      <c r="BR211" s="125">
        <v>15.5204</v>
      </c>
      <c r="BS211" s="125">
        <v>16.517199999999999</v>
      </c>
      <c r="BT211" s="125">
        <v>17.540599999999998</v>
      </c>
      <c r="BU211" s="125">
        <v>18.587799999999998</v>
      </c>
      <c r="BV211" s="125">
        <v>10.71434</v>
      </c>
      <c r="BW211" s="125">
        <v>10.794266</v>
      </c>
      <c r="BX211" s="125">
        <v>10.910591999999999</v>
      </c>
      <c r="BY211" s="125">
        <v>11.074517999999999</v>
      </c>
      <c r="BZ211" s="125">
        <v>11.433044000000002</v>
      </c>
      <c r="CA211" s="125">
        <v>11.97217</v>
      </c>
    </row>
    <row r="212" spans="1:79">
      <c r="A212" t="s">
        <v>215</v>
      </c>
      <c r="B212" s="125">
        <f t="shared" ref="B212:AG212" si="7">MIN($AJ$209:$CA$209)</f>
        <v>12.860505000000002</v>
      </c>
      <c r="C212" s="125">
        <f t="shared" si="7"/>
        <v>12.860505000000002</v>
      </c>
      <c r="D212" s="125">
        <f t="shared" si="7"/>
        <v>12.860505000000002</v>
      </c>
      <c r="E212" s="125">
        <f t="shared" si="7"/>
        <v>12.860505000000002</v>
      </c>
      <c r="F212" s="125">
        <f t="shared" si="7"/>
        <v>12.860505000000002</v>
      </c>
      <c r="G212" s="125">
        <f t="shared" si="7"/>
        <v>12.860505000000002</v>
      </c>
      <c r="H212" s="125">
        <f t="shared" si="7"/>
        <v>12.860505000000002</v>
      </c>
      <c r="I212" s="125">
        <f t="shared" si="7"/>
        <v>12.860505000000002</v>
      </c>
      <c r="J212" s="125">
        <f t="shared" si="7"/>
        <v>12.860505000000002</v>
      </c>
      <c r="K212" s="125">
        <f t="shared" si="7"/>
        <v>12.860505000000002</v>
      </c>
      <c r="L212" s="125">
        <f t="shared" si="7"/>
        <v>12.860505000000002</v>
      </c>
      <c r="M212" s="125">
        <f t="shared" si="7"/>
        <v>12.860505000000002</v>
      </c>
      <c r="N212" s="125">
        <f t="shared" si="7"/>
        <v>12.860505000000002</v>
      </c>
      <c r="O212" s="125">
        <f t="shared" si="7"/>
        <v>12.860505000000002</v>
      </c>
      <c r="P212" s="125">
        <f t="shared" si="7"/>
        <v>12.860505000000002</v>
      </c>
      <c r="Q212" s="125">
        <f t="shared" si="7"/>
        <v>12.860505000000002</v>
      </c>
      <c r="R212" s="125">
        <f t="shared" si="7"/>
        <v>12.860505000000002</v>
      </c>
      <c r="S212" s="125">
        <f t="shared" si="7"/>
        <v>12.860505000000002</v>
      </c>
      <c r="T212" s="125">
        <f t="shared" si="7"/>
        <v>12.860505000000002</v>
      </c>
      <c r="U212" s="125">
        <f t="shared" si="7"/>
        <v>12.860505000000002</v>
      </c>
      <c r="V212" s="125">
        <f t="shared" si="7"/>
        <v>12.860505000000002</v>
      </c>
      <c r="W212" s="125">
        <f t="shared" si="7"/>
        <v>12.860505000000002</v>
      </c>
      <c r="X212" s="125">
        <f t="shared" si="7"/>
        <v>12.860505000000002</v>
      </c>
      <c r="Y212" s="125">
        <f t="shared" si="7"/>
        <v>12.860505000000002</v>
      </c>
      <c r="Z212" s="125">
        <f t="shared" si="7"/>
        <v>12.860505000000002</v>
      </c>
      <c r="AA212" s="125">
        <f t="shared" si="7"/>
        <v>12.860505000000002</v>
      </c>
      <c r="AB212" s="125">
        <f t="shared" si="7"/>
        <v>12.860505000000002</v>
      </c>
      <c r="AC212" s="125">
        <f t="shared" si="7"/>
        <v>12.860505000000002</v>
      </c>
      <c r="AD212" s="125">
        <f t="shared" si="7"/>
        <v>12.860505000000002</v>
      </c>
      <c r="AE212" s="125">
        <f t="shared" si="7"/>
        <v>12.860505000000002</v>
      </c>
      <c r="AF212" s="125">
        <f t="shared" si="7"/>
        <v>12.860505000000002</v>
      </c>
      <c r="AG212" s="125">
        <f t="shared" si="7"/>
        <v>12.860505000000002</v>
      </c>
      <c r="AH212" s="125">
        <f t="shared" ref="AH212:BM212" si="8">MIN($AJ$209:$CA$209)</f>
        <v>12.860505000000002</v>
      </c>
      <c r="AI212" s="125">
        <f t="shared" si="8"/>
        <v>12.860505000000002</v>
      </c>
      <c r="AJ212" s="125">
        <f t="shared" si="8"/>
        <v>12.860505000000002</v>
      </c>
      <c r="AK212" s="125">
        <f t="shared" si="8"/>
        <v>12.860505000000002</v>
      </c>
      <c r="AL212" s="125">
        <f t="shared" si="8"/>
        <v>12.860505000000002</v>
      </c>
      <c r="AM212" s="125">
        <f t="shared" si="8"/>
        <v>12.860505000000002</v>
      </c>
      <c r="AN212" s="125">
        <f t="shared" si="8"/>
        <v>12.860505000000002</v>
      </c>
      <c r="AO212" s="125">
        <f t="shared" si="8"/>
        <v>12.860505000000002</v>
      </c>
      <c r="AP212" s="125">
        <f t="shared" si="8"/>
        <v>12.860505000000002</v>
      </c>
      <c r="AQ212" s="125">
        <f t="shared" si="8"/>
        <v>12.860505000000002</v>
      </c>
      <c r="AR212" s="125">
        <f t="shared" si="8"/>
        <v>12.860505000000002</v>
      </c>
      <c r="AS212" s="125">
        <f t="shared" si="8"/>
        <v>12.860505000000002</v>
      </c>
      <c r="AT212" s="125">
        <f t="shared" si="8"/>
        <v>12.860505000000002</v>
      </c>
      <c r="AU212" s="125">
        <f t="shared" si="8"/>
        <v>12.860505000000002</v>
      </c>
      <c r="AV212" s="125">
        <f t="shared" si="8"/>
        <v>12.860505000000002</v>
      </c>
      <c r="AW212" s="125">
        <f t="shared" si="8"/>
        <v>12.860505000000002</v>
      </c>
      <c r="AX212" s="125">
        <f t="shared" si="8"/>
        <v>12.860505000000002</v>
      </c>
      <c r="AY212" s="125">
        <f t="shared" si="8"/>
        <v>12.860505000000002</v>
      </c>
      <c r="AZ212" s="125">
        <f t="shared" si="8"/>
        <v>12.860505000000002</v>
      </c>
      <c r="BA212" s="125">
        <f t="shared" si="8"/>
        <v>12.860505000000002</v>
      </c>
      <c r="BB212" s="125">
        <f t="shared" si="8"/>
        <v>12.860505000000002</v>
      </c>
      <c r="BC212" s="125">
        <f t="shared" si="8"/>
        <v>12.860505000000002</v>
      </c>
      <c r="BD212" s="125">
        <f t="shared" si="8"/>
        <v>12.860505000000002</v>
      </c>
      <c r="BE212" s="125">
        <f t="shared" si="8"/>
        <v>12.860505000000002</v>
      </c>
      <c r="BF212" s="125">
        <f t="shared" si="8"/>
        <v>12.860505000000002</v>
      </c>
      <c r="BG212" s="125">
        <f t="shared" si="8"/>
        <v>12.860505000000002</v>
      </c>
      <c r="BH212" s="125">
        <f t="shared" si="8"/>
        <v>12.860505000000002</v>
      </c>
      <c r="BI212" s="125">
        <f t="shared" si="8"/>
        <v>12.860505000000002</v>
      </c>
      <c r="BJ212" s="125">
        <f t="shared" si="8"/>
        <v>12.860505000000002</v>
      </c>
      <c r="BK212" s="125">
        <f t="shared" si="8"/>
        <v>12.860505000000002</v>
      </c>
      <c r="BL212" s="125">
        <f t="shared" si="8"/>
        <v>12.860505000000002</v>
      </c>
      <c r="BM212" s="125">
        <f t="shared" si="8"/>
        <v>12.860505000000002</v>
      </c>
      <c r="BN212" s="125">
        <f t="shared" ref="BN212:CA212" si="9">MIN($AJ$209:$CA$209)</f>
        <v>12.860505000000002</v>
      </c>
      <c r="BO212" s="125">
        <f t="shared" si="9"/>
        <v>12.860505000000002</v>
      </c>
      <c r="BP212" s="125">
        <f t="shared" si="9"/>
        <v>12.860505000000002</v>
      </c>
      <c r="BQ212" s="125">
        <f t="shared" si="9"/>
        <v>12.860505000000002</v>
      </c>
      <c r="BR212" s="125">
        <f t="shared" si="9"/>
        <v>12.860505000000002</v>
      </c>
      <c r="BS212" s="125">
        <f t="shared" si="9"/>
        <v>12.860505000000002</v>
      </c>
      <c r="BT212" s="125">
        <f t="shared" si="9"/>
        <v>12.860505000000002</v>
      </c>
      <c r="BU212" s="125">
        <f t="shared" si="9"/>
        <v>12.860505000000002</v>
      </c>
      <c r="BV212" s="125">
        <f t="shared" si="9"/>
        <v>12.860505000000002</v>
      </c>
      <c r="BW212" s="125">
        <f t="shared" si="9"/>
        <v>12.860505000000002</v>
      </c>
      <c r="BX212" s="125">
        <f t="shared" si="9"/>
        <v>12.860505000000002</v>
      </c>
      <c r="BY212" s="125">
        <f t="shared" si="9"/>
        <v>12.860505000000002</v>
      </c>
      <c r="BZ212" s="125">
        <f t="shared" si="9"/>
        <v>12.860505000000002</v>
      </c>
      <c r="CA212" s="125">
        <f t="shared" si="9"/>
        <v>12.860505000000002</v>
      </c>
    </row>
    <row r="213" spans="1:79">
      <c r="A213" t="s">
        <v>216</v>
      </c>
      <c r="B213" s="125">
        <f t="shared" ref="B213:AG213" si="10">MIN($AC$210:$CA$210)</f>
        <v>6.4303399999999993</v>
      </c>
      <c r="C213" s="125">
        <f t="shared" si="10"/>
        <v>6.4303399999999993</v>
      </c>
      <c r="D213" s="125">
        <f t="shared" si="10"/>
        <v>6.4303399999999993</v>
      </c>
      <c r="E213" s="125">
        <f t="shared" si="10"/>
        <v>6.4303399999999993</v>
      </c>
      <c r="F213" s="125">
        <f t="shared" si="10"/>
        <v>6.4303399999999993</v>
      </c>
      <c r="G213" s="125">
        <f t="shared" si="10"/>
        <v>6.4303399999999993</v>
      </c>
      <c r="H213" s="125">
        <f t="shared" si="10"/>
        <v>6.4303399999999993</v>
      </c>
      <c r="I213" s="125">
        <f t="shared" si="10"/>
        <v>6.4303399999999993</v>
      </c>
      <c r="J213" s="125">
        <f t="shared" si="10"/>
        <v>6.4303399999999993</v>
      </c>
      <c r="K213" s="125">
        <f t="shared" si="10"/>
        <v>6.4303399999999993</v>
      </c>
      <c r="L213" s="125">
        <f t="shared" si="10"/>
        <v>6.4303399999999993</v>
      </c>
      <c r="M213" s="125">
        <f t="shared" si="10"/>
        <v>6.4303399999999993</v>
      </c>
      <c r="N213" s="125">
        <f t="shared" si="10"/>
        <v>6.4303399999999993</v>
      </c>
      <c r="O213" s="125">
        <f t="shared" si="10"/>
        <v>6.4303399999999993</v>
      </c>
      <c r="P213" s="125">
        <f t="shared" si="10"/>
        <v>6.4303399999999993</v>
      </c>
      <c r="Q213" s="125">
        <f t="shared" si="10"/>
        <v>6.4303399999999993</v>
      </c>
      <c r="R213" s="125">
        <f t="shared" si="10"/>
        <v>6.4303399999999993</v>
      </c>
      <c r="S213" s="125">
        <f t="shared" si="10"/>
        <v>6.4303399999999993</v>
      </c>
      <c r="T213" s="125">
        <f t="shared" si="10"/>
        <v>6.4303399999999993</v>
      </c>
      <c r="U213" s="125">
        <f t="shared" si="10"/>
        <v>6.4303399999999993</v>
      </c>
      <c r="V213" s="125">
        <f t="shared" si="10"/>
        <v>6.4303399999999993</v>
      </c>
      <c r="W213" s="125">
        <f t="shared" si="10"/>
        <v>6.4303399999999993</v>
      </c>
      <c r="X213" s="125">
        <f t="shared" si="10"/>
        <v>6.4303399999999993</v>
      </c>
      <c r="Y213" s="125">
        <f t="shared" si="10"/>
        <v>6.4303399999999993</v>
      </c>
      <c r="Z213" s="125">
        <f t="shared" si="10"/>
        <v>6.4303399999999993</v>
      </c>
      <c r="AA213" s="125">
        <f t="shared" si="10"/>
        <v>6.4303399999999993</v>
      </c>
      <c r="AB213" s="125">
        <f t="shared" si="10"/>
        <v>6.4303399999999993</v>
      </c>
      <c r="AC213" s="125">
        <f t="shared" si="10"/>
        <v>6.4303399999999993</v>
      </c>
      <c r="AD213" s="125">
        <f t="shared" si="10"/>
        <v>6.4303399999999993</v>
      </c>
      <c r="AE213" s="125">
        <f t="shared" si="10"/>
        <v>6.4303399999999993</v>
      </c>
      <c r="AF213" s="125">
        <f t="shared" si="10"/>
        <v>6.4303399999999993</v>
      </c>
      <c r="AG213" s="125">
        <f t="shared" si="10"/>
        <v>6.4303399999999993</v>
      </c>
      <c r="AH213" s="125">
        <f t="shared" ref="AH213:BM213" si="11">MIN($AC$210:$CA$210)</f>
        <v>6.4303399999999993</v>
      </c>
      <c r="AI213" s="125">
        <f t="shared" si="11"/>
        <v>6.4303399999999993</v>
      </c>
      <c r="AJ213" s="125">
        <f t="shared" si="11"/>
        <v>6.4303399999999993</v>
      </c>
      <c r="AK213" s="125">
        <f t="shared" si="11"/>
        <v>6.4303399999999993</v>
      </c>
      <c r="AL213" s="125">
        <f t="shared" si="11"/>
        <v>6.4303399999999993</v>
      </c>
      <c r="AM213" s="125">
        <f t="shared" si="11"/>
        <v>6.4303399999999993</v>
      </c>
      <c r="AN213" s="125">
        <f t="shared" si="11"/>
        <v>6.4303399999999993</v>
      </c>
      <c r="AO213" s="125">
        <f t="shared" si="11"/>
        <v>6.4303399999999993</v>
      </c>
      <c r="AP213" s="125">
        <f t="shared" si="11"/>
        <v>6.4303399999999993</v>
      </c>
      <c r="AQ213" s="125">
        <f t="shared" si="11"/>
        <v>6.4303399999999993</v>
      </c>
      <c r="AR213" s="125">
        <f t="shared" si="11"/>
        <v>6.4303399999999993</v>
      </c>
      <c r="AS213" s="125">
        <f t="shared" si="11"/>
        <v>6.4303399999999993</v>
      </c>
      <c r="AT213" s="125">
        <f t="shared" si="11"/>
        <v>6.4303399999999993</v>
      </c>
      <c r="AU213" s="125">
        <f t="shared" si="11"/>
        <v>6.4303399999999993</v>
      </c>
      <c r="AV213" s="125">
        <f t="shared" si="11"/>
        <v>6.4303399999999993</v>
      </c>
      <c r="AW213" s="125">
        <f t="shared" si="11"/>
        <v>6.4303399999999993</v>
      </c>
      <c r="AX213" s="125">
        <f t="shared" si="11"/>
        <v>6.4303399999999993</v>
      </c>
      <c r="AY213" s="125">
        <f t="shared" si="11"/>
        <v>6.4303399999999993</v>
      </c>
      <c r="AZ213" s="125">
        <f t="shared" si="11"/>
        <v>6.4303399999999993</v>
      </c>
      <c r="BA213" s="125">
        <f t="shared" si="11"/>
        <v>6.4303399999999993</v>
      </c>
      <c r="BB213" s="125">
        <f t="shared" si="11"/>
        <v>6.4303399999999993</v>
      </c>
      <c r="BC213" s="125">
        <f t="shared" si="11"/>
        <v>6.4303399999999993</v>
      </c>
      <c r="BD213" s="125">
        <f t="shared" si="11"/>
        <v>6.4303399999999993</v>
      </c>
      <c r="BE213" s="125">
        <f t="shared" si="11"/>
        <v>6.4303399999999993</v>
      </c>
      <c r="BF213" s="125">
        <f t="shared" si="11"/>
        <v>6.4303399999999993</v>
      </c>
      <c r="BG213" s="125">
        <f t="shared" si="11"/>
        <v>6.4303399999999993</v>
      </c>
      <c r="BH213" s="125">
        <f t="shared" si="11"/>
        <v>6.4303399999999993</v>
      </c>
      <c r="BI213" s="125">
        <f t="shared" si="11"/>
        <v>6.4303399999999993</v>
      </c>
      <c r="BJ213" s="125">
        <f t="shared" si="11"/>
        <v>6.4303399999999993</v>
      </c>
      <c r="BK213" s="125">
        <f t="shared" si="11"/>
        <v>6.4303399999999993</v>
      </c>
      <c r="BL213" s="125">
        <f t="shared" si="11"/>
        <v>6.4303399999999993</v>
      </c>
      <c r="BM213" s="125">
        <f t="shared" si="11"/>
        <v>6.4303399999999993</v>
      </c>
      <c r="BN213" s="125">
        <f t="shared" ref="BN213:CA213" si="12">MIN($AC$210:$CA$210)</f>
        <v>6.4303399999999993</v>
      </c>
      <c r="BO213" s="125">
        <f t="shared" si="12"/>
        <v>6.4303399999999993</v>
      </c>
      <c r="BP213" s="125">
        <f t="shared" si="12"/>
        <v>6.4303399999999993</v>
      </c>
      <c r="BQ213" s="125">
        <f t="shared" si="12"/>
        <v>6.4303399999999993</v>
      </c>
      <c r="BR213" s="125">
        <f t="shared" si="12"/>
        <v>6.4303399999999993</v>
      </c>
      <c r="BS213" s="125">
        <f t="shared" si="12"/>
        <v>6.4303399999999993</v>
      </c>
      <c r="BT213" s="125">
        <f t="shared" si="12"/>
        <v>6.4303399999999993</v>
      </c>
      <c r="BU213" s="125">
        <f t="shared" si="12"/>
        <v>6.4303399999999993</v>
      </c>
      <c r="BV213" s="125">
        <f t="shared" si="12"/>
        <v>6.4303399999999993</v>
      </c>
      <c r="BW213" s="125">
        <f t="shared" si="12"/>
        <v>6.4303399999999993</v>
      </c>
      <c r="BX213" s="125">
        <f t="shared" si="12"/>
        <v>6.4303399999999993</v>
      </c>
      <c r="BY213" s="125">
        <f t="shared" si="12"/>
        <v>6.4303399999999993</v>
      </c>
      <c r="BZ213" s="125">
        <f t="shared" si="12"/>
        <v>6.4303399999999993</v>
      </c>
      <c r="CA213" s="125">
        <f t="shared" si="12"/>
        <v>6.4303399999999993</v>
      </c>
    </row>
    <row r="216" spans="1:79">
      <c r="A216" s="1" t="s">
        <v>217</v>
      </c>
    </row>
    <row r="217" spans="1:79">
      <c r="A217" s="699" t="s">
        <v>218</v>
      </c>
      <c r="B217" s="700" t="s">
        <v>219</v>
      </c>
      <c r="C217" s="700" t="s">
        <v>220</v>
      </c>
      <c r="D217" s="700" t="s">
        <v>221</v>
      </c>
      <c r="E217" s="700" t="s">
        <v>222</v>
      </c>
    </row>
    <row r="218" spans="1:79">
      <c r="A218" s="701" t="s">
        <v>223</v>
      </c>
      <c r="B218" s="702">
        <v>0.16</v>
      </c>
      <c r="C218" s="702">
        <v>0.22</v>
      </c>
      <c r="D218" s="702">
        <v>0.09</v>
      </c>
      <c r="E218" s="702">
        <v>0.53</v>
      </c>
    </row>
    <row r="220" spans="1:79">
      <c r="A220" s="1" t="s">
        <v>224</v>
      </c>
    </row>
    <row r="221" spans="1:79">
      <c r="A221" s="699" t="s">
        <v>218</v>
      </c>
      <c r="B221" s="700" t="s">
        <v>219</v>
      </c>
      <c r="C221" s="700" t="s">
        <v>220</v>
      </c>
      <c r="D221" s="700" t="s">
        <v>221</v>
      </c>
      <c r="E221" s="700" t="s">
        <v>222</v>
      </c>
    </row>
    <row r="222" spans="1:79">
      <c r="A222" s="701" t="s">
        <v>225</v>
      </c>
      <c r="B222" s="702">
        <v>0.05</v>
      </c>
      <c r="C222" s="702">
        <v>0.3</v>
      </c>
      <c r="D222" s="702">
        <v>0.55000000000000004</v>
      </c>
      <c r="E222" s="702">
        <v>0.8</v>
      </c>
    </row>
    <row r="223" spans="1:79">
      <c r="A223" s="701" t="s">
        <v>226</v>
      </c>
      <c r="B223" s="702">
        <v>0.15</v>
      </c>
      <c r="C223" s="702">
        <v>0.4</v>
      </c>
      <c r="D223" s="702">
        <v>0.65</v>
      </c>
      <c r="E223" s="702">
        <v>0.9</v>
      </c>
    </row>
    <row r="224" spans="1:79">
      <c r="A224" s="701" t="s">
        <v>227</v>
      </c>
      <c r="B224" s="702">
        <v>0.2</v>
      </c>
      <c r="C224" s="702">
        <v>0.5</v>
      </c>
      <c r="D224" s="702">
        <v>0.75</v>
      </c>
      <c r="E224" s="702">
        <v>1</v>
      </c>
    </row>
    <row r="227" spans="1:8">
      <c r="A227" s="694" t="s">
        <v>228</v>
      </c>
    </row>
    <row r="228" spans="1:8">
      <c r="A228" s="254"/>
      <c r="B228" s="545" t="s">
        <v>229</v>
      </c>
      <c r="C228" s="254" t="s">
        <v>230</v>
      </c>
      <c r="D228" s="254" t="s">
        <v>231</v>
      </c>
      <c r="F228" s="551"/>
      <c r="G228" s="551"/>
      <c r="H228" s="551"/>
    </row>
    <row r="229" spans="1:8">
      <c r="A229" s="478" t="s">
        <v>232</v>
      </c>
      <c r="B229" s="421">
        <f>'P89 units held for harvest'!B50/1000</f>
        <v>42.12692314474446</v>
      </c>
      <c r="C229" s="421">
        <f>'P89 units held for harvest'!B15/1000</f>
        <v>51.085242040822429</v>
      </c>
      <c r="D229" s="546">
        <f>'P89 units held for harvest'!B33/1000</f>
        <v>60.752588489774588</v>
      </c>
      <c r="E229" s="412"/>
      <c r="F229" s="551"/>
      <c r="G229" s="551"/>
      <c r="H229" s="551"/>
    </row>
    <row r="230" spans="1:8">
      <c r="A230" s="478" t="s">
        <v>233</v>
      </c>
      <c r="B230" s="421">
        <f>('P89 units held for harvest'!E55+SUM('P89 units held for harvest'!D3:E3))/1000</f>
        <v>1.5263506777617442</v>
      </c>
      <c r="C230" s="421">
        <f>('P89 units held for harvest'!E20+SUM('P89 units held for harvest'!D3:E3))/1000</f>
        <v>2.0123678758917327</v>
      </c>
      <c r="D230" s="421">
        <f>('P89 units held for harvest'!E38+SUM('P89 units held for harvest'!D3:E3))/1000</f>
        <v>2.7112448854169808</v>
      </c>
      <c r="E230" s="412"/>
    </row>
    <row r="231" spans="1:8">
      <c r="A231" s="478" t="s">
        <v>234</v>
      </c>
      <c r="B231" s="422">
        <f>B229+B230</f>
        <v>43.6532738225062</v>
      </c>
      <c r="C231" s="422">
        <f>C229+C230</f>
        <v>53.097609916714163</v>
      </c>
      <c r="D231" s="422">
        <f>D229+D230</f>
        <v>63.46383337519157</v>
      </c>
      <c r="E231" s="412"/>
    </row>
    <row r="232" spans="1:8" ht="38.25">
      <c r="A232" s="478" t="s">
        <v>235</v>
      </c>
      <c r="B232" s="552" t="s">
        <v>236</v>
      </c>
      <c r="C232" s="552" t="s">
        <v>237</v>
      </c>
      <c r="D232" s="552" t="s">
        <v>238</v>
      </c>
    </row>
    <row r="235" spans="1:8">
      <c r="A235" s="1" t="s">
        <v>239</v>
      </c>
    </row>
    <row r="238" spans="1:8">
      <c r="F238" s="1">
        <v>2024</v>
      </c>
      <c r="G238" s="1">
        <v>2030</v>
      </c>
    </row>
    <row r="239" spans="1:8">
      <c r="E239" t="s">
        <v>240</v>
      </c>
      <c r="F239" s="9">
        <f ca="1">'5a. Total surplus estimate'!C40/1000</f>
        <v>11.540391</v>
      </c>
      <c r="G239" s="9">
        <f ca="1">'5a. Total surplus estimate'!I40/1000</f>
        <v>5.5557429749950593</v>
      </c>
    </row>
    <row r="240" spans="1:8">
      <c r="E240" t="s">
        <v>142</v>
      </c>
      <c r="F240" s="9">
        <f>'5a. Total surplus estimate'!C37/1000</f>
        <v>34.237271994281755</v>
      </c>
      <c r="G240" s="9">
        <f>'5a. Total surplus estimate'!I37/1000</f>
        <v>28.222927333945222</v>
      </c>
    </row>
    <row r="241" spans="1:7">
      <c r="E241" t="s">
        <v>141</v>
      </c>
      <c r="F241" s="9">
        <f>'5a. Total surplus estimate'!C39/1000</f>
        <v>25.147747442611148</v>
      </c>
      <c r="G241" s="9">
        <f>'5a. Total surplus estimate'!I39/1000</f>
        <v>17.366288382237325</v>
      </c>
    </row>
    <row r="242" spans="1:7">
      <c r="E242" t="s">
        <v>241</v>
      </c>
      <c r="F242" s="9">
        <f ca="1">('5a. Total surplus estimate'!B6-'5a. Total surplus estimate'!C8-'5a. Total surplus estimate'!C10-'5a. Total surplus estimate'!C39-'5a. Total surplus estimate'!C40+'5a. Total surplus estimate'!C11)/1000</f>
        <v>36.392800078755037</v>
      </c>
      <c r="G242" s="9">
        <f ca="1">$F$242</f>
        <v>36.392800078755037</v>
      </c>
    </row>
    <row r="243" spans="1:7">
      <c r="E243" t="s">
        <v>242</v>
      </c>
      <c r="F243" s="9"/>
      <c r="G243" s="9">
        <f ca="1">SUM(F239+F241)-SUM(G239+G241)</f>
        <v>13.766107085378763</v>
      </c>
    </row>
    <row r="244" spans="1:7">
      <c r="E244" t="s">
        <v>243</v>
      </c>
      <c r="F244" s="9">
        <f ca="1">SUM(F239,F241,F242)</f>
        <v>73.080938521366193</v>
      </c>
      <c r="G244" s="9">
        <f ca="1">SUM(G239,G241)</f>
        <v>22.922031357232385</v>
      </c>
    </row>
    <row r="256" spans="1:7">
      <c r="A256" s="694" t="s">
        <v>244</v>
      </c>
    </row>
    <row r="257" spans="1:4">
      <c r="A257" s="254" t="s">
        <v>245</v>
      </c>
      <c r="B257" s="254" t="s">
        <v>229</v>
      </c>
      <c r="C257" s="254" t="s">
        <v>230</v>
      </c>
      <c r="D257" s="254" t="s">
        <v>231</v>
      </c>
    </row>
    <row r="258" spans="1:4">
      <c r="A258" s="480" t="s">
        <v>246</v>
      </c>
      <c r="B258" s="256">
        <f>'Hedging by emitters'!J80/1000</f>
        <v>3.7075866818604011</v>
      </c>
      <c r="C258" s="256">
        <f>'Hedging by emitters'!J74/1000</f>
        <v>4.947321166529302</v>
      </c>
      <c r="D258" s="256">
        <f>'Hedging by emitters'!J68/1000</f>
        <v>6.2520360264596357</v>
      </c>
    </row>
    <row r="259" spans="1:4">
      <c r="A259" s="480" t="s">
        <v>247</v>
      </c>
      <c r="B259" s="256">
        <f>'Hedging by emitters'!J81/1000</f>
        <v>8.2306652921956118</v>
      </c>
      <c r="C259" s="256">
        <f>'Hedging by emitters'!J75/1000</f>
        <v>10.950278560279562</v>
      </c>
      <c r="D259" s="256">
        <f>'Hedging by emitters'!J69/1000</f>
        <v>13.651511111849718</v>
      </c>
    </row>
    <row r="260" spans="1:4">
      <c r="A260" s="480" t="s">
        <v>248</v>
      </c>
      <c r="B260" s="256">
        <f>'Hedging by emitters'!J82/1000</f>
        <v>0.77235483077913636</v>
      </c>
      <c r="C260" s="256">
        <f>'Hedging by emitters'!J76/1000</f>
        <v>0.91682962168679361</v>
      </c>
      <c r="D260" s="256">
        <f>'Hedging by emitters'!J70/1000</f>
        <v>1.0532805788954109</v>
      </c>
    </row>
    <row r="261" spans="1:4">
      <c r="A261" s="480" t="s">
        <v>249</v>
      </c>
      <c r="B261" s="256">
        <f>'Hedging by emitters'!J83/1000</f>
        <v>0.55185903374166756</v>
      </c>
      <c r="C261" s="256">
        <f>'Hedging by emitters'!J77/1000</f>
        <v>0.55185903374166756</v>
      </c>
      <c r="D261" s="256">
        <f>'Hedging by emitters'!J71/1000</f>
        <v>0.55185903374166756</v>
      </c>
    </row>
    <row r="262" spans="1:4">
      <c r="A262" s="480" t="s">
        <v>250</v>
      </c>
      <c r="B262" s="435">
        <f>SUM(B258:B261)</f>
        <v>13.262465838576816</v>
      </c>
      <c r="C262" s="435">
        <f t="shared" ref="C262" si="13">SUM(C258:C261)</f>
        <v>17.366288382237325</v>
      </c>
      <c r="D262" s="435">
        <f>SUM(D258:D261)</f>
        <v>21.508686750946431</v>
      </c>
    </row>
    <row r="265" spans="1:4">
      <c r="A265" s="694" t="s">
        <v>251</v>
      </c>
    </row>
    <row r="266" spans="1:4">
      <c r="A266" s="254" t="s">
        <v>252</v>
      </c>
      <c r="B266" s="254" t="s">
        <v>229</v>
      </c>
      <c r="C266" s="254" t="s">
        <v>230</v>
      </c>
      <c r="D266" s="254" t="s">
        <v>231</v>
      </c>
    </row>
    <row r="267" spans="1:4">
      <c r="A267" s="547" t="s">
        <v>253</v>
      </c>
      <c r="B267" s="255">
        <f>'P89 MERP4 additional surplus'!C3/1000</f>
        <v>35.191491641305049</v>
      </c>
      <c r="C267" s="255">
        <f>'P89 MERP4 additional surplus'!B3/1000</f>
        <v>37.014157364737898</v>
      </c>
      <c r="D267" s="255">
        <f>'P89 MERP4 additional surplus'!D3/1000</f>
        <v>36.8973468670047</v>
      </c>
    </row>
    <row r="268" spans="1:4">
      <c r="A268" s="548" t="s">
        <v>254</v>
      </c>
      <c r="B268" s="256">
        <f>'P89 MERP4 additional surplus'!C4/1000</f>
        <v>17.866420914473835</v>
      </c>
      <c r="C268" s="256">
        <f>'P89 MERP4 additional surplus'!B4/1000</f>
        <v>15.264028181250094</v>
      </c>
      <c r="D268" s="256">
        <f>'P89 MERP4 additional surplus'!D4/1000</f>
        <v>12.842864468733671</v>
      </c>
    </row>
    <row r="269" spans="1:4">
      <c r="A269" s="548" t="s">
        <v>255</v>
      </c>
      <c r="B269" s="256">
        <f>'P89 MERP4 additional surplus'!C5/1000</f>
        <v>17.325070726831218</v>
      </c>
      <c r="C269" s="256">
        <f>'P89 MERP4 additional surplus'!B5/1000</f>
        <v>21.750129183487804</v>
      </c>
      <c r="D269" s="256">
        <f>'P89 MERP4 additional surplus'!D5/1000</f>
        <v>24.054482398271031</v>
      </c>
    </row>
    <row r="270" spans="1:4">
      <c r="A270" s="549" t="s">
        <v>256</v>
      </c>
      <c r="B270" s="255">
        <f>'P89 MERP4 additional surplus'!C6/1000</f>
        <v>7.4105090000000002</v>
      </c>
      <c r="C270" s="255">
        <f>'P89 MERP4 additional surplus'!B6/1000</f>
        <v>7.4105090000000002</v>
      </c>
      <c r="D270" s="255">
        <f>'P89 MERP4 additional surplus'!D6/1000</f>
        <v>7.4105090000000002</v>
      </c>
    </row>
    <row r="271" spans="1:4">
      <c r="A271" s="548" t="s">
        <v>257</v>
      </c>
      <c r="B271" s="256">
        <f>'P89 MERP4 additional surplus'!C7/1000</f>
        <v>3.7618128854169797</v>
      </c>
      <c r="C271" s="256">
        <f>'P89 MERP4 additional surplus'!B7/1000</f>
        <v>3.0629358758917324</v>
      </c>
      <c r="D271" s="256">
        <f>'P89 MERP4 additional surplus'!D7/1000</f>
        <v>2.5769186777617423</v>
      </c>
    </row>
    <row r="272" spans="1:4">
      <c r="A272" s="548" t="s">
        <v>258</v>
      </c>
      <c r="B272" s="256">
        <f>'P89 MERP4 additional surplus'!C8/1000</f>
        <v>3.6486961145830206</v>
      </c>
      <c r="C272" s="256">
        <f>'P89 MERP4 additional surplus'!B8/1000</f>
        <v>4.3475731241082674</v>
      </c>
      <c r="D272" s="256">
        <f>'P89 MERP4 additional surplus'!D8/1000</f>
        <v>4.8335903222382575</v>
      </c>
    </row>
    <row r="273" spans="1:5">
      <c r="A273" s="550" t="s">
        <v>259</v>
      </c>
      <c r="B273" s="255">
        <f>'P89 MERP4 additional surplus'!C9/1000</f>
        <v>13.676374612248198</v>
      </c>
      <c r="C273" s="255">
        <f>'P89 MERP4 additional surplus'!B9/1000</f>
        <v>17.402556059379535</v>
      </c>
      <c r="D273" s="255">
        <f>'P89 MERP4 additional surplus'!D9/1000</f>
        <v>19.220892076032772</v>
      </c>
    </row>
    <row r="275" spans="1:5">
      <c r="A275" s="694" t="s">
        <v>260</v>
      </c>
    </row>
    <row r="276" spans="1:5">
      <c r="A276" s="254" t="s">
        <v>252</v>
      </c>
      <c r="B276" s="254" t="s">
        <v>261</v>
      </c>
    </row>
    <row r="277" spans="1:5">
      <c r="A277" s="67" t="s">
        <v>262</v>
      </c>
      <c r="B277" s="256">
        <f>'2. NZ ETS cap'!D29/1000</f>
        <v>33.558297352404438</v>
      </c>
    </row>
    <row r="278" spans="1:5">
      <c r="A278" s="67" t="s">
        <v>263</v>
      </c>
      <c r="B278" s="256">
        <f>'2. NZ ETS cap'!D35/1000</f>
        <v>26.183010725387007</v>
      </c>
    </row>
    <row r="279" spans="1:5">
      <c r="A279" s="70" t="s">
        <v>264</v>
      </c>
      <c r="B279" s="256">
        <f>B277-B278</f>
        <v>7.3752866270174309</v>
      </c>
    </row>
    <row r="281" spans="1:5">
      <c r="A281" s="1" t="s">
        <v>265</v>
      </c>
    </row>
    <row r="282" spans="1:5">
      <c r="A282" s="554"/>
      <c r="B282" s="554" t="s">
        <v>229</v>
      </c>
      <c r="C282" s="554" t="s">
        <v>230</v>
      </c>
      <c r="D282" s="554" t="s">
        <v>231</v>
      </c>
    </row>
    <row r="283" spans="1:5">
      <c r="A283" s="478" t="s">
        <v>266</v>
      </c>
      <c r="B283" s="553">
        <f>'P89 MERP4 additional surplus'!C12/1000</f>
        <v>6.3010879852307697</v>
      </c>
      <c r="C283" s="553">
        <f>'P89 MERP4 additional surplus'!B12/1000</f>
        <v>10.027269432362107</v>
      </c>
      <c r="D283" s="553">
        <f>'P89 MERP4 additional surplus'!D12/1000</f>
        <v>11.845605449015343</v>
      </c>
    </row>
    <row r="285" spans="1:5">
      <c r="A285" s="1" t="s">
        <v>267</v>
      </c>
    </row>
    <row r="288" spans="1:5">
      <c r="E288" s="324" t="s">
        <v>268</v>
      </c>
    </row>
    <row r="290" spans="5:9">
      <c r="F290" t="s">
        <v>269</v>
      </c>
      <c r="G290" t="s">
        <v>270</v>
      </c>
      <c r="H290" t="s">
        <v>271</v>
      </c>
      <c r="I290" t="s">
        <v>272</v>
      </c>
    </row>
    <row r="291" spans="5:9">
      <c r="E291" t="s">
        <v>273</v>
      </c>
      <c r="F291" s="9">
        <f>C269</f>
        <v>21.750129183487804</v>
      </c>
    </row>
    <row r="292" spans="5:9">
      <c r="E292" t="s">
        <v>274</v>
      </c>
      <c r="F292" s="9">
        <f>C268</f>
        <v>15.264028181250094</v>
      </c>
    </row>
    <row r="293" spans="5:9">
      <c r="E293" t="s">
        <v>275</v>
      </c>
      <c r="G293" s="9">
        <f>F291-G294</f>
        <v>17.402556059379535</v>
      </c>
    </row>
    <row r="294" spans="5:9">
      <c r="E294" t="s">
        <v>276</v>
      </c>
      <c r="F294" s="9"/>
      <c r="G294" s="9">
        <f>C272</f>
        <v>4.3475731241082674</v>
      </c>
      <c r="H294" s="9"/>
    </row>
    <row r="295" spans="5:9">
      <c r="E295" t="s">
        <v>277</v>
      </c>
      <c r="H295" s="9">
        <f>G293-H296</f>
        <v>10.027269432362104</v>
      </c>
    </row>
    <row r="296" spans="5:9">
      <c r="E296" t="s">
        <v>278</v>
      </c>
      <c r="H296" s="9">
        <f>B279</f>
        <v>7.3752866270174309</v>
      </c>
    </row>
    <row r="297" spans="5:9">
      <c r="E297" t="s">
        <v>279</v>
      </c>
      <c r="I297" s="9">
        <f>H295</f>
        <v>10.027269432362104</v>
      </c>
    </row>
    <row r="298" spans="5:9">
      <c r="F298" s="9">
        <f>SUM(F291:F297)</f>
        <v>37.014157364737898</v>
      </c>
      <c r="G298" s="9">
        <f t="shared" ref="G298" si="14">SUM(G291:G297)</f>
        <v>21.7501291834878</v>
      </c>
      <c r="H298" s="9">
        <f>SUM(H291:H297)</f>
        <v>17.402556059379535</v>
      </c>
      <c r="I298" s="9">
        <f>SUM(I291:I297)</f>
        <v>10.027269432362104</v>
      </c>
    </row>
    <row r="299" spans="5:9">
      <c r="F299" s="9"/>
      <c r="G299" s="9"/>
      <c r="H299" s="9"/>
      <c r="I299" s="9"/>
    </row>
    <row r="310" spans="1:8">
      <c r="A310" s="694" t="s">
        <v>280</v>
      </c>
    </row>
    <row r="312" spans="1:8">
      <c r="E312" t="s">
        <v>281</v>
      </c>
    </row>
    <row r="313" spans="1:8">
      <c r="F313" t="s">
        <v>229</v>
      </c>
      <c r="G313" t="s">
        <v>230</v>
      </c>
      <c r="H313" t="s">
        <v>231</v>
      </c>
    </row>
    <row r="314" spans="1:8">
      <c r="E314" t="s">
        <v>137</v>
      </c>
      <c r="F314" s="125">
        <v>36.31</v>
      </c>
      <c r="G314" s="125">
        <v>53.11</v>
      </c>
      <c r="H314" s="125">
        <v>69.510000000000005</v>
      </c>
    </row>
    <row r="315" spans="1:8">
      <c r="E315" t="s">
        <v>282</v>
      </c>
      <c r="F315" s="125">
        <v>28.412813919742661</v>
      </c>
      <c r="G315" s="125">
        <v>50.158907164133808</v>
      </c>
      <c r="H315" s="125">
        <v>67.711477285072618</v>
      </c>
    </row>
    <row r="316" spans="1:8">
      <c r="E316" t="s">
        <v>283</v>
      </c>
      <c r="F316" s="125">
        <v>20.91</v>
      </c>
      <c r="G316" s="125">
        <v>37.71</v>
      </c>
      <c r="H316" s="125">
        <v>49.81</v>
      </c>
    </row>
    <row r="317" spans="1:8">
      <c r="F317" s="125"/>
      <c r="G317" s="125"/>
      <c r="H317" s="125"/>
    </row>
    <row r="318" spans="1:8">
      <c r="E318" t="s">
        <v>284</v>
      </c>
      <c r="F318" s="125">
        <v>28.412813919742661</v>
      </c>
      <c r="G318" s="125">
        <v>21.746093244391147</v>
      </c>
      <c r="H318" s="125">
        <v>17.55257012093881</v>
      </c>
    </row>
    <row r="319" spans="1:8">
      <c r="E319" t="s">
        <v>285</v>
      </c>
      <c r="F319" s="125">
        <v>36.31</v>
      </c>
      <c r="G319" s="125">
        <v>16.799999999999997</v>
      </c>
      <c r="H319" s="125">
        <v>16.400000000000006</v>
      </c>
    </row>
    <row r="320" spans="1:8">
      <c r="E320" t="s">
        <v>286</v>
      </c>
      <c r="F320" s="125">
        <v>20.91</v>
      </c>
      <c r="G320" s="125">
        <v>16.8</v>
      </c>
      <c r="H320" s="125">
        <v>12.100000000000001</v>
      </c>
    </row>
    <row r="333" spans="1:5">
      <c r="A333" s="694" t="s">
        <v>287</v>
      </c>
    </row>
    <row r="334" spans="1:5">
      <c r="A334" s="511" t="s">
        <v>288</v>
      </c>
      <c r="B334" s="732">
        <f>'5a. Total surplus estimate'!B6/1000</f>
        <v>150.38855100000001</v>
      </c>
      <c r="C334" s="732"/>
      <c r="D334" s="732"/>
    </row>
    <row r="335" spans="1:5">
      <c r="A335" s="254" t="s">
        <v>289</v>
      </c>
      <c r="B335" s="254" t="s">
        <v>229</v>
      </c>
      <c r="C335" s="254" t="s">
        <v>230</v>
      </c>
      <c r="D335" s="254" t="s">
        <v>231</v>
      </c>
    </row>
    <row r="336" spans="1:5">
      <c r="A336" s="67" t="s">
        <v>48</v>
      </c>
      <c r="B336" s="256">
        <f ca="1">'5a. Total surplus estimate'!B7/1000</f>
        <v>9.0670329450683589</v>
      </c>
      <c r="C336" s="256">
        <f ca="1">'5a. Total surplus estimate'!C7/1000</f>
        <v>5.5557429749950593</v>
      </c>
      <c r="D336" s="256">
        <f ca="1">'5a. Total surplus estimate'!D7/1000</f>
        <v>3.3696675085779551</v>
      </c>
      <c r="E336" s="9"/>
    </row>
    <row r="337" spans="1:8">
      <c r="A337" s="67" t="s">
        <v>290</v>
      </c>
      <c r="B337" s="256">
        <f>'5a. Total surplus estimate'!B8/1000</f>
        <v>63.463833375191562</v>
      </c>
      <c r="C337" s="256">
        <f>'5a. Total surplus estimate'!C8/1000</f>
        <v>53.097609916714156</v>
      </c>
      <c r="D337" s="256">
        <f>'5a. Total surplus estimate'!D8/1000</f>
        <v>43.653273822506208</v>
      </c>
      <c r="E337" s="9"/>
    </row>
    <row r="338" spans="1:8">
      <c r="A338" s="67" t="s">
        <v>291</v>
      </c>
      <c r="B338" s="256">
        <f>'5a. Total surplus estimate'!B9/1000</f>
        <v>21.508686750946431</v>
      </c>
      <c r="C338" s="256">
        <f>'5a. Total surplus estimate'!C9/1000</f>
        <v>17.366288382237325</v>
      </c>
      <c r="D338" s="256">
        <f>'5a. Total surplus estimate'!D9/1000</f>
        <v>13.262465838576817</v>
      </c>
      <c r="E338" s="9"/>
    </row>
    <row r="339" spans="1:8">
      <c r="A339" s="67" t="s">
        <v>292</v>
      </c>
      <c r="B339" s="256">
        <f>'5a. Total surplus estimate'!B10/1000</f>
        <v>34.237271994281755</v>
      </c>
      <c r="C339" s="256">
        <f>'5a. Total surplus estimate'!C10/1000</f>
        <v>34.237271994281755</v>
      </c>
      <c r="D339" s="256">
        <f>'5a. Total surplus estimate'!D10/1000</f>
        <v>34.237271994281755</v>
      </c>
      <c r="E339" s="9"/>
    </row>
    <row r="340" spans="1:8">
      <c r="A340" s="67" t="s">
        <v>52</v>
      </c>
      <c r="B340" s="256">
        <f>'5a. Total surplus estimate'!B11/1000</f>
        <v>6.3010879852307697</v>
      </c>
      <c r="C340" s="256">
        <f>'5a. Total surplus estimate'!C11/1000</f>
        <v>10.027269432362107</v>
      </c>
      <c r="D340" s="256">
        <f>'5a. Total surplus estimate'!D11/1000</f>
        <v>11.845605449015343</v>
      </c>
      <c r="E340" s="9"/>
    </row>
    <row r="341" spans="1:8">
      <c r="A341" s="67" t="str">
        <f>'5a. Total surplus estimate'!A12</f>
        <v>Total surplus estimate (thousand units)</v>
      </c>
      <c r="B341" s="256">
        <f ca="1">'5a. Total surplus estimate'!B12/1000</f>
        <v>28.412813919742661</v>
      </c>
      <c r="C341" s="256">
        <f ca="1">'5a. Total surplus estimate'!C12/1000</f>
        <v>50.158907164133808</v>
      </c>
      <c r="D341" s="256">
        <f ca="1">'5a. Total surplus estimate'!D12/1000</f>
        <v>67.711477285072618</v>
      </c>
      <c r="E341" s="9"/>
    </row>
    <row r="343" spans="1:8">
      <c r="A343" s="69" t="s">
        <v>293</v>
      </c>
    </row>
    <row r="344" spans="1:8">
      <c r="A344" s="254"/>
      <c r="B344" s="731" t="s">
        <v>294</v>
      </c>
      <c r="C344" s="731"/>
      <c r="D344" s="731"/>
      <c r="E344" s="731" t="s">
        <v>104</v>
      </c>
      <c r="F344" s="731"/>
      <c r="G344" s="731"/>
      <c r="H344" s="254"/>
    </row>
    <row r="345" spans="1:8">
      <c r="A345" s="254"/>
      <c r="B345" s="254">
        <v>2025</v>
      </c>
      <c r="C345" s="254">
        <v>2026</v>
      </c>
      <c r="D345" s="254">
        <v>2027</v>
      </c>
      <c r="E345" s="254">
        <v>2028</v>
      </c>
      <c r="F345" s="254">
        <v>2029</v>
      </c>
      <c r="G345" s="254">
        <v>2030</v>
      </c>
      <c r="H345" s="254" t="s">
        <v>150</v>
      </c>
    </row>
    <row r="346" spans="1:8">
      <c r="A346" s="67" t="s">
        <v>295</v>
      </c>
      <c r="B346" s="67">
        <f>'5a. Surplus reduction volumes'!D12/1000</f>
        <v>12.5</v>
      </c>
      <c r="C346" s="67">
        <f>'5a. Surplus reduction volumes'!E12/1000</f>
        <v>11.5</v>
      </c>
      <c r="D346" s="67">
        <f>'5a. Surplus reduction volumes'!F12/1000</f>
        <v>10.5</v>
      </c>
      <c r="E346" s="256">
        <f ca="1">'5a. Surplus reduction volumes'!G12/1000</f>
        <v>5.4077219818608802</v>
      </c>
      <c r="F346" s="256">
        <f ca="1">'5a. Surplus reduction volumes'!H12/1000</f>
        <v>5.2623460949414946</v>
      </c>
      <c r="G346" s="256">
        <f ca="1">'5a. Surplus reduction volumes'!I12/1000</f>
        <v>4.9888390873314341</v>
      </c>
      <c r="H346" s="255">
        <f ca="1">SUM(B346:G346)</f>
        <v>50.158907164133808</v>
      </c>
    </row>
    <row r="347" spans="1:8">
      <c r="A347" s="67" t="s">
        <v>296</v>
      </c>
      <c r="B347" s="420">
        <f t="shared" ref="B347:G347" ca="1" si="15">B346/$H$346</f>
        <v>0.24920798132815264</v>
      </c>
      <c r="C347" s="420">
        <f t="shared" ca="1" si="15"/>
        <v>0.22927134282190043</v>
      </c>
      <c r="D347" s="420">
        <f t="shared" ca="1" si="15"/>
        <v>0.20933470431564821</v>
      </c>
      <c r="E347" s="420">
        <f t="shared" ca="1" si="15"/>
        <v>0.10781179829467415</v>
      </c>
      <c r="F347" s="420">
        <f t="shared" ca="1" si="15"/>
        <v>0.10491349178963656</v>
      </c>
      <c r="G347" s="420">
        <f t="shared" ca="1" si="15"/>
        <v>9.9460681449988014E-2</v>
      </c>
      <c r="H347" s="479">
        <f ca="1">SUM(B347:G347)</f>
        <v>1</v>
      </c>
    </row>
    <row r="348" spans="1:8">
      <c r="A348" s="67" t="s">
        <v>297</v>
      </c>
      <c r="B348" s="420">
        <f t="shared" ref="B348:G348" si="16">B346/C49</f>
        <v>0.47740881028169996</v>
      </c>
      <c r="C348" s="420">
        <f t="shared" si="16"/>
        <v>0.49520662160599127</v>
      </c>
      <c r="D348" s="420">
        <f t="shared" si="16"/>
        <v>0.50422575359374888</v>
      </c>
      <c r="E348" s="420">
        <f t="shared" ca="1" si="16"/>
        <v>0.30734174728708774</v>
      </c>
      <c r="F348" s="420">
        <f t="shared" ca="1" si="16"/>
        <v>0.34821027632958973</v>
      </c>
      <c r="G348" s="420">
        <f t="shared" ca="1" si="16"/>
        <v>0.39522486776750126</v>
      </c>
      <c r="H348" s="479">
        <f ca="1">SUM(B346:G346)/SUM(C49:H49)</f>
        <v>0.43405029044198501</v>
      </c>
    </row>
    <row r="350" spans="1:8" s="16" customFormat="1">
      <c r="A350" s="26" t="s">
        <v>157</v>
      </c>
    </row>
    <row r="351" spans="1:8">
      <c r="A351" s="1" t="s">
        <v>298</v>
      </c>
    </row>
    <row r="352" spans="1:8">
      <c r="A352" s="254"/>
      <c r="B352" s="555">
        <f>'5b. Discrepancy adjustment'!C1</f>
        <v>2025</v>
      </c>
      <c r="C352" s="555">
        <f>'5b. Discrepancy adjustment'!D1</f>
        <v>2026</v>
      </c>
      <c r="D352" s="555">
        <f>'5b. Discrepancy adjustment'!E1</f>
        <v>2027</v>
      </c>
      <c r="E352" s="254" t="s">
        <v>299</v>
      </c>
      <c r="F352" s="254" t="s">
        <v>300</v>
      </c>
    </row>
    <row r="353" spans="1:6">
      <c r="A353" s="67" t="str">
        <f>'5b. Discrepancy adjustment'!B16</f>
        <v>Step 2. NZ ETS cap</v>
      </c>
      <c r="B353" s="256">
        <f>'5b. Discrepancy adjustment'!C16/1000</f>
        <v>0</v>
      </c>
      <c r="C353" s="256">
        <f>'5b. Discrepancy adjustment'!D16/1000</f>
        <v>0.17737029705972235</v>
      </c>
      <c r="D353" s="256">
        <f>'5b. Discrepancy adjustment'!E16/1000</f>
        <v>0.57599423440045938</v>
      </c>
      <c r="E353" s="419">
        <f>SUM(B353:D353)</f>
        <v>0.75336453146018179</v>
      </c>
      <c r="F353" s="67" t="s">
        <v>301</v>
      </c>
    </row>
    <row r="354" spans="1:6">
      <c r="A354" s="67" t="str">
        <f>'5b. Discrepancy adjustment'!B17</f>
        <v>Step 3. Technical adjustments</v>
      </c>
      <c r="B354" s="723">
        <f>'5b. Discrepancy adjustment'!C17/1000</f>
        <v>-0.8</v>
      </c>
      <c r="C354" s="723">
        <f>'5b. Discrepancy adjustment'!D17/1000</f>
        <v>-0.7</v>
      </c>
      <c r="D354" s="723">
        <f>'5b. Discrepancy adjustment'!E17/1000</f>
        <v>-0.7</v>
      </c>
      <c r="E354" s="724">
        <f>SUM(B354:D354)</f>
        <v>-2.2000000000000002</v>
      </c>
      <c r="F354" s="67" t="s">
        <v>302</v>
      </c>
    </row>
    <row r="355" spans="1:6">
      <c r="A355" s="67" t="str">
        <f>'5b. Discrepancy adjustment'!B18</f>
        <v>Step 4. Industrial free allocation forecasts</v>
      </c>
      <c r="B355" s="723">
        <f>'5b. Discrepancy adjustment'!C18/1000</f>
        <v>-0.8679282606431461</v>
      </c>
      <c r="C355" s="723">
        <f>'5b. Discrepancy adjustment'!D18/1000</f>
        <v>-0.55098144342009436</v>
      </c>
      <c r="D355" s="723">
        <f>'5b. Discrepancy adjustment'!E18/1000</f>
        <v>-0.61714312086942669</v>
      </c>
      <c r="E355" s="724">
        <f>SUM(B355:D355)</f>
        <v>-2.0360528249326668</v>
      </c>
      <c r="F355" s="67" t="s">
        <v>302</v>
      </c>
    </row>
    <row r="356" spans="1:6">
      <c r="A356" s="67" t="str">
        <f>'5b. Discrepancy adjustment'!B19</f>
        <v>Step 5b. Discrepancy adjustment</v>
      </c>
      <c r="B356" s="723">
        <f>'5b. Discrepancy adjustment'!C19/1000</f>
        <v>-0.3</v>
      </c>
      <c r="C356" s="723">
        <f>'5b. Discrepancy adjustment'!D19/1000</f>
        <v>-0.3</v>
      </c>
      <c r="D356" s="723">
        <f>'5b. Discrepancy adjustment'!E19/1000</f>
        <v>-0.3</v>
      </c>
      <c r="E356" s="724">
        <f>SUM(B356:D356)</f>
        <v>-0.89999999999999991</v>
      </c>
      <c r="F356" s="67" t="s">
        <v>302</v>
      </c>
    </row>
    <row r="357" spans="1:6">
      <c r="A357" s="67" t="s">
        <v>303</v>
      </c>
      <c r="B357" s="723">
        <f>'5b. Discrepancy adjustment'!C20/1000</f>
        <v>-1.9679282606431461</v>
      </c>
      <c r="C357" s="723">
        <f>'5b. Discrepancy adjustment'!D20/1000</f>
        <v>-1.373611146360372</v>
      </c>
      <c r="D357" s="723">
        <f>'5b. Discrepancy adjustment'!E20/1000</f>
        <v>-1.0411488864689673</v>
      </c>
      <c r="E357" s="725">
        <f>SUM(B357:D357)</f>
        <v>-4.3826882934724853</v>
      </c>
      <c r="F357" s="67" t="s">
        <v>302</v>
      </c>
    </row>
    <row r="358" spans="1:6">
      <c r="B358" s="412"/>
      <c r="C358" s="412"/>
      <c r="D358" s="412"/>
      <c r="E358" s="350"/>
    </row>
    <row r="359" spans="1:6">
      <c r="A359" s="694" t="s">
        <v>304</v>
      </c>
    </row>
    <row r="360" spans="1:6">
      <c r="A360" s="254" t="s">
        <v>305</v>
      </c>
      <c r="B360" s="254">
        <v>2028</v>
      </c>
      <c r="C360" s="254">
        <v>2029</v>
      </c>
      <c r="D360" s="254">
        <v>2030</v>
      </c>
    </row>
    <row r="361" spans="1:6">
      <c r="A361" s="67" t="s">
        <v>306</v>
      </c>
      <c r="B361" s="421">
        <f>'7. Calculate auction volumes'!F10/-1000</f>
        <v>1.5135385615249299</v>
      </c>
      <c r="C361" s="421">
        <f>'7. Calculate auction volumes'!G10/-1000</f>
        <v>1.4728500772599418</v>
      </c>
      <c r="D361" s="421">
        <f>'7. Calculate auction volumes'!H10/-1000</f>
        <v>1.3962996546876134</v>
      </c>
    </row>
    <row r="362" spans="1:6">
      <c r="A362" s="703"/>
      <c r="B362" s="704"/>
      <c r="C362" s="704"/>
      <c r="D362" s="704"/>
    </row>
    <row r="364" spans="1:6" s="20" customFormat="1">
      <c r="A364" s="31" t="s">
        <v>307</v>
      </c>
    </row>
    <row r="366" spans="1:6">
      <c r="A366" s="1" t="s">
        <v>308</v>
      </c>
    </row>
    <row r="368" spans="1:6">
      <c r="A368" s="1" t="s">
        <v>309</v>
      </c>
    </row>
    <row r="369" spans="1:19">
      <c r="A369" s="709" t="s">
        <v>310</v>
      </c>
      <c r="B369" s="726" t="s">
        <v>311</v>
      </c>
      <c r="C369" s="726"/>
      <c r="D369" s="726" t="s">
        <v>104</v>
      </c>
      <c r="E369" s="726"/>
      <c r="F369" s="710" t="s">
        <v>105</v>
      </c>
    </row>
    <row r="370" spans="1:19">
      <c r="A370" s="709"/>
      <c r="B370" s="710">
        <v>2026</v>
      </c>
      <c r="C370" s="710">
        <v>2027</v>
      </c>
      <c r="D370" s="710">
        <v>2028</v>
      </c>
      <c r="E370" s="710">
        <v>2029</v>
      </c>
      <c r="F370" s="710">
        <v>2030</v>
      </c>
    </row>
    <row r="371" spans="1:19">
      <c r="A371" s="711" t="str">
        <f>'Main report tables &amp; graphs'!A128</f>
        <v>Step 1: Align with emissions reduction targets</v>
      </c>
      <c r="B371" s="712">
        <f>'Main report tables &amp; graphs'!B128-'Current NZ ETS settings'!E5</f>
        <v>0</v>
      </c>
      <c r="C371" s="712">
        <f>'Main report tables &amp; graphs'!C128-'Current NZ ETS settings'!F5</f>
        <v>0</v>
      </c>
      <c r="D371" s="722">
        <f>'Main report tables &amp; graphs'!D128-'Current NZ ETS settings'!G5</f>
        <v>-0.56009935765401764</v>
      </c>
      <c r="E371" s="722">
        <f>'Main report tables &amp; graphs'!E128-'Current NZ ETS settings'!H5</f>
        <v>-0.73748590136281678</v>
      </c>
      <c r="F371" s="722">
        <f>'Main report tables &amp; graphs'!F128-'Current NZ ETS settings'!I5</f>
        <v>-0.12033350039070712</v>
      </c>
      <c r="M371" s="9"/>
    </row>
    <row r="372" spans="1:19">
      <c r="A372" s="714" t="s">
        <v>312</v>
      </c>
      <c r="B372" s="712">
        <f>'Main report tables &amp; graphs'!B130-'Current NZ ETS settings'!E7</f>
        <v>0</v>
      </c>
      <c r="C372" s="712">
        <f>'Main report tables &amp; graphs'!C130-'Current NZ ETS settings'!F7</f>
        <v>0</v>
      </c>
      <c r="D372" s="722">
        <f>'Current NZ ETS settings'!G6-'7. Calculate auction volumes'!F5/1000</f>
        <v>-1.2447576798458968</v>
      </c>
      <c r="E372" s="722">
        <f>'Current NZ ETS settings'!H6-'7. Calculate auction volumes'!G5/1000</f>
        <v>-1.5499615616737046</v>
      </c>
      <c r="F372" s="722">
        <f>'Current NZ ETS settings'!I6-'7. Calculate auction volumes'!H5/1000</f>
        <v>-1.756880095727908</v>
      </c>
      <c r="M372" s="9"/>
      <c r="P372" s="7"/>
      <c r="Q372" s="7"/>
      <c r="R372" s="7"/>
      <c r="S372" s="289"/>
    </row>
    <row r="373" spans="1:19">
      <c r="A373" s="711" t="str">
        <f>'Main report tables &amp; graphs'!A131</f>
        <v>Step 3: Technical adjustments</v>
      </c>
      <c r="B373" s="712">
        <f>'Main report tables &amp; graphs'!B131-'Current NZ ETS settings'!E8</f>
        <v>0</v>
      </c>
      <c r="C373" s="712">
        <f>'Main report tables &amp; graphs'!C131-'Current NZ ETS settings'!F8</f>
        <v>0</v>
      </c>
      <c r="D373" s="713">
        <f>('Main report tables &amp; graphs'!D131-'Current NZ ETS settings'!G8)*-1</f>
        <v>0.7</v>
      </c>
      <c r="E373" s="713">
        <f>('Main report tables &amp; graphs'!E131-'Current NZ ETS settings'!H8)*-1</f>
        <v>0.7</v>
      </c>
      <c r="F373" s="713">
        <f>('Main report tables &amp; graphs'!F131-'Current NZ ETS settings'!I8)*-1</f>
        <v>0.6</v>
      </c>
      <c r="M373" s="9"/>
      <c r="P373" s="7"/>
      <c r="Q373" s="7"/>
      <c r="R373" s="7"/>
      <c r="S373" s="289"/>
    </row>
    <row r="374" spans="1:19">
      <c r="A374" s="711" t="str">
        <f>'Main report tables &amp; graphs'!A132</f>
        <v>Step 4: Industrial free allocation</v>
      </c>
      <c r="B374" s="712">
        <f>'Main report tables &amp; graphs'!B132-'Current NZ ETS settings'!E9</f>
        <v>0</v>
      </c>
      <c r="C374" s="712">
        <f>'Main report tables &amp; graphs'!C132-'Current NZ ETS settings'!F9</f>
        <v>0</v>
      </c>
      <c r="D374" s="713">
        <f>('Main report tables &amp; graphs'!D132-'Current NZ ETS settings'!G9)*-1</f>
        <v>1.0492750124527568</v>
      </c>
      <c r="E374" s="713">
        <f>('Main report tables &amp; graphs'!E132-'Current NZ ETS settings'!H9)*-1</f>
        <v>1.0097541263150891</v>
      </c>
      <c r="F374" s="713">
        <f>('Main report tables &amp; graphs'!F132-'Current NZ ETS settings'!I9)*-1</f>
        <v>1.1248383271374198</v>
      </c>
      <c r="M374" s="9"/>
      <c r="P374" s="7"/>
      <c r="Q374" s="7"/>
      <c r="R374" s="7"/>
      <c r="S374" s="289"/>
    </row>
    <row r="375" spans="1:19">
      <c r="A375" s="711" t="str">
        <f>'Main report tables &amp; graphs'!A133</f>
        <v>Step 5a: Surplus reduction</v>
      </c>
      <c r="B375" s="712">
        <f>'Main report tables &amp; graphs'!B133-'Current NZ ETS settings'!E10</f>
        <v>0</v>
      </c>
      <c r="C375" s="712">
        <f>'Main report tables &amp; graphs'!C133-'Current NZ ETS settings'!F10</f>
        <v>0</v>
      </c>
      <c r="D375" s="713">
        <f ca="1">('Main report tables &amp; graphs'!D133-'Current NZ ETS settings'!G10)*-1</f>
        <v>4.0922780181391198</v>
      </c>
      <c r="E375" s="713">
        <f ca="1">('Main report tables &amp; graphs'!E133-'Current NZ ETS settings'!H10)*-1</f>
        <v>3.2376539050585054</v>
      </c>
      <c r="F375" s="713">
        <f ca="1">('Main report tables &amp; graphs'!F133-'Current NZ ETS settings'!I10)*-1</f>
        <v>2.1111609126685655</v>
      </c>
      <c r="P375" s="7"/>
      <c r="Q375" s="7"/>
      <c r="R375" s="7"/>
      <c r="S375" s="289"/>
    </row>
    <row r="376" spans="1:19">
      <c r="A376" s="711" t="str">
        <f>'Main report tables &amp; graphs'!A134</f>
        <v>Step 5b: Discrepancy adjustment</v>
      </c>
      <c r="B376" s="712">
        <f>'Main report tables &amp; graphs'!B134-'Current NZ ETS settings'!E11</f>
        <v>0</v>
      </c>
      <c r="C376" s="712">
        <f>'Main report tables &amp; graphs'!C134-'Current NZ ETS settings'!F11</f>
        <v>0</v>
      </c>
      <c r="D376" s="713">
        <f>('Main report tables &amp; graphs'!D134-'Current NZ ETS settings'!G11)*-1</f>
        <v>1.81353856152493</v>
      </c>
      <c r="E376" s="713">
        <f>('Main report tables &amp; graphs'!E134-'Current NZ ETS settings'!H11)*-1</f>
        <v>1.6728500772599417</v>
      </c>
      <c r="F376" s="713">
        <f>('Main report tables &amp; graphs'!F134-'Current NZ ETS settings'!I11)*-1</f>
        <v>1.3962996546876134</v>
      </c>
      <c r="P376" s="7"/>
      <c r="Q376" s="7"/>
      <c r="R376" s="7"/>
      <c r="S376" s="289"/>
    </row>
    <row r="377" spans="1:19">
      <c r="A377" s="711" t="str">
        <f>'Main report tables &amp; graphs'!A135</f>
        <v>Step 6: Approved overseas units</v>
      </c>
      <c r="B377" s="712">
        <f>'Main report tables &amp; graphs'!B135-'Current NZ ETS settings'!E12</f>
        <v>0</v>
      </c>
      <c r="C377" s="712">
        <f>'Main report tables &amp; graphs'!C135-'Current NZ ETS settings'!F12</f>
        <v>0</v>
      </c>
      <c r="D377" s="713">
        <f>'Main report tables &amp; graphs'!D135-'Current NZ ETS settings'!G12</f>
        <v>0</v>
      </c>
      <c r="E377" s="713">
        <f>'Main report tables &amp; graphs'!E135-'Current NZ ETS settings'!H12</f>
        <v>0</v>
      </c>
      <c r="F377" s="713">
        <f>'Main report tables &amp; graphs'!F135-'Current NZ ETS settings'!I12</f>
        <v>0</v>
      </c>
      <c r="M377" s="9"/>
      <c r="P377" s="7"/>
      <c r="Q377" s="7"/>
      <c r="R377" s="7"/>
      <c r="S377" s="289"/>
    </row>
    <row r="378" spans="1:19">
      <c r="A378" s="711" t="str">
        <f>'Main report tables &amp; graphs'!A136</f>
        <v>Step 7a: Base auction volumes</v>
      </c>
      <c r="B378" s="712">
        <f>'Main report tables &amp; graphs'!B136-'Current NZ ETS settings'!E13</f>
        <v>0</v>
      </c>
      <c r="C378" s="712">
        <f>'Main report tables &amp; graphs'!C136-'Current NZ ETS settings'!F13</f>
        <v>0</v>
      </c>
      <c r="D378" s="713">
        <f ca="1">'Main report tables &amp; graphs'!D136-'Current NZ ETS settings'!G13</f>
        <v>5.8999999999999995</v>
      </c>
      <c r="E378" s="713">
        <f ca="1">'Main report tables &amp; graphs'!E136-'Current NZ ETS settings'!H13</f>
        <v>4.4000000000000004</v>
      </c>
      <c r="F378" s="713">
        <f ca="1">'Main report tables &amp; graphs'!F136-'Current NZ ETS settings'!I13</f>
        <v>3.3999999999999986</v>
      </c>
      <c r="P378" s="7"/>
      <c r="Q378" s="7"/>
      <c r="R378" s="7"/>
      <c r="S378" s="289"/>
    </row>
    <row r="379" spans="1:19">
      <c r="A379" s="711" t="str">
        <f>'Main report tables &amp; graphs'!A137</f>
        <v xml:space="preserve">Step 7b: Final auction volumes </v>
      </c>
      <c r="B379" s="712">
        <f>'Main report tables &amp; graphs'!B137-'Current NZ ETS settings'!E13</f>
        <v>0</v>
      </c>
      <c r="C379" s="712">
        <f>'Main report tables &amp; graphs'!C137-'Current NZ ETS settings'!F13</f>
        <v>0</v>
      </c>
      <c r="D379" s="713">
        <f ca="1">'Main report tables &amp; graphs'!D137-'Current NZ ETS settings'!G13</f>
        <v>3.7</v>
      </c>
      <c r="E379" s="713">
        <f ca="1">'Main report tables &amp; graphs'!E137-'Current NZ ETS settings'!H13</f>
        <v>4.5999999999999996</v>
      </c>
      <c r="F379" s="713">
        <f ca="1">'Main report tables &amp; graphs'!F137-'Current NZ ETS settings'!I13</f>
        <v>5.2999999999999989</v>
      </c>
      <c r="N379" s="9"/>
    </row>
    <row r="380" spans="1:19">
      <c r="A380" s="708"/>
      <c r="N380" s="9"/>
    </row>
    <row r="381" spans="1:19">
      <c r="N381" s="9"/>
    </row>
    <row r="382" spans="1:19">
      <c r="B382" s="7"/>
      <c r="C382" s="7"/>
      <c r="D382" s="7"/>
      <c r="E382" s="7"/>
      <c r="F382" s="7"/>
      <c r="G382" s="7"/>
      <c r="N382" s="9"/>
    </row>
    <row r="383" spans="1:19">
      <c r="B383" s="7"/>
      <c r="C383" s="7"/>
      <c r="D383" s="7"/>
      <c r="E383" s="7"/>
      <c r="F383" s="7"/>
      <c r="G383" s="7"/>
      <c r="N383" s="9"/>
    </row>
    <row r="384" spans="1:19">
      <c r="B384" s="7"/>
      <c r="C384" s="7"/>
      <c r="D384" s="7"/>
      <c r="E384" s="7"/>
      <c r="F384" s="7"/>
      <c r="G384" s="7"/>
      <c r="N384" s="9"/>
    </row>
    <row r="385" spans="1:14">
      <c r="N385" s="9"/>
    </row>
    <row r="386" spans="1:14">
      <c r="N386" s="9"/>
    </row>
    <row r="387" spans="1:14">
      <c r="N387" s="9"/>
    </row>
    <row r="388" spans="1:14">
      <c r="N388" s="9"/>
    </row>
    <row r="392" spans="1:14">
      <c r="A392" s="50"/>
      <c r="B392" s="12"/>
    </row>
    <row r="393" spans="1:14">
      <c r="B393" s="289"/>
    </row>
    <row r="394" spans="1:14">
      <c r="B394" s="289"/>
    </row>
    <row r="395" spans="1:14">
      <c r="B395" s="289"/>
    </row>
    <row r="396" spans="1:14">
      <c r="B396" s="289"/>
    </row>
    <row r="397" spans="1:14">
      <c r="B397" s="289"/>
    </row>
    <row r="398" spans="1:14">
      <c r="B398" s="707"/>
    </row>
    <row r="399" spans="1:14">
      <c r="B399" s="36"/>
    </row>
    <row r="400" spans="1:14">
      <c r="B400" s="36"/>
    </row>
    <row r="401" spans="2:2">
      <c r="B401" s="9"/>
    </row>
    <row r="402" spans="2:2">
      <c r="B402" s="9"/>
    </row>
  </sheetData>
  <mergeCells count="15">
    <mergeCell ref="A38:B38"/>
    <mergeCell ref="A46:B46"/>
    <mergeCell ref="A39:A45"/>
    <mergeCell ref="A47:A48"/>
    <mergeCell ref="A49:B49"/>
    <mergeCell ref="B369:C369"/>
    <mergeCell ref="D369:E369"/>
    <mergeCell ref="J44:J45"/>
    <mergeCell ref="J49:J50"/>
    <mergeCell ref="A116:B116"/>
    <mergeCell ref="B344:D344"/>
    <mergeCell ref="E344:G344"/>
    <mergeCell ref="B334:D334"/>
    <mergeCell ref="A105:A110"/>
    <mergeCell ref="A111:A1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8AF6-4C53-4B77-B6B8-32404FFD1FD3}">
  <sheetPr>
    <tabColor theme="9" tint="0.79998168889431442"/>
  </sheetPr>
  <dimension ref="A1:AG47"/>
  <sheetViews>
    <sheetView zoomScale="60" zoomScaleNormal="60" workbookViewId="0">
      <selection activeCell="J43" sqref="J43"/>
    </sheetView>
  </sheetViews>
  <sheetFormatPr defaultRowHeight="15"/>
  <cols>
    <col min="1" max="1" width="13.85546875" customWidth="1"/>
    <col min="2" max="2" width="29.5703125" customWidth="1"/>
    <col min="3" max="5" width="10.5703125" customWidth="1"/>
    <col min="6" max="6" width="12.5703125" customWidth="1"/>
    <col min="9" max="9" width="12.7109375" bestFit="1" customWidth="1"/>
    <col min="13" max="13" width="10" customWidth="1"/>
  </cols>
  <sheetData>
    <row r="1" spans="1:33" s="16" customFormat="1">
      <c r="A1" s="26"/>
      <c r="E1" s="26" t="s">
        <v>313</v>
      </c>
      <c r="I1" s="26" t="s">
        <v>314</v>
      </c>
      <c r="N1" s="26" t="s">
        <v>315</v>
      </c>
      <c r="S1" s="26"/>
    </row>
    <row r="2" spans="1:33" s="1" customFormat="1">
      <c r="A2" s="1" t="s">
        <v>316</v>
      </c>
      <c r="C2" s="1">
        <v>2020</v>
      </c>
      <c r="D2" s="1">
        <v>2021</v>
      </c>
      <c r="E2" s="148">
        <v>2022</v>
      </c>
      <c r="F2" s="148">
        <v>2023</v>
      </c>
      <c r="G2" s="148">
        <v>2024</v>
      </c>
      <c r="H2" s="148">
        <v>2025</v>
      </c>
      <c r="I2" s="158">
        <v>2026</v>
      </c>
      <c r="J2" s="158">
        <v>2027</v>
      </c>
      <c r="K2" s="158">
        <v>2028</v>
      </c>
      <c r="L2" s="158">
        <v>2029</v>
      </c>
      <c r="M2" s="158">
        <v>2030</v>
      </c>
      <c r="N2" s="395">
        <v>2031</v>
      </c>
      <c r="O2" s="395">
        <v>2032</v>
      </c>
      <c r="P2" s="395">
        <v>2033</v>
      </c>
      <c r="Q2" s="395">
        <v>2034</v>
      </c>
      <c r="R2" s="395">
        <v>2035</v>
      </c>
      <c r="S2"/>
      <c r="T2"/>
      <c r="U2"/>
      <c r="V2"/>
      <c r="W2"/>
    </row>
    <row r="3" spans="1:33">
      <c r="B3" t="s">
        <v>317</v>
      </c>
      <c r="C3" s="88">
        <f>'ERP2 New measures - detailed'!C27</f>
        <v>75692.61877955019</v>
      </c>
      <c r="D3" s="88">
        <f>'ERP2 New measures - detailed'!D27</f>
        <v>75737.688231987035</v>
      </c>
      <c r="E3" s="88">
        <f>'ERP2 New measures - detailed'!E27</f>
        <v>72743.887236956318</v>
      </c>
      <c r="F3" s="88">
        <f>'ERP2 New measures - detailed'!F27</f>
        <v>71227.336586108795</v>
      </c>
      <c r="G3" s="88">
        <f>'ERP2 New measures - detailed'!G27</f>
        <v>71147.765726277677</v>
      </c>
      <c r="H3" s="88">
        <f>'ERP2 New measures - detailed'!H27</f>
        <v>69017.849740273829</v>
      </c>
      <c r="I3" s="88">
        <f>'ERP2 New measures - detailed'!I27</f>
        <v>65932.055473631757</v>
      </c>
      <c r="J3" s="88">
        <f>'ERP2 New measures - detailed'!J27</f>
        <v>63673.713724902351</v>
      </c>
      <c r="K3" s="88">
        <f>'ERP2 New measures - detailed'!K27</f>
        <v>60439.90064234598</v>
      </c>
      <c r="L3" s="88">
        <f>'ERP2 New measures - detailed'!L27</f>
        <v>57862.514098637184</v>
      </c>
      <c r="M3" s="88">
        <f>'ERP2 New measures - detailed'!M27</f>
        <v>55179.666499609288</v>
      </c>
      <c r="N3" s="88">
        <f>'ERP2 New measures - detailed'!N27</f>
        <v>53542.175515277544</v>
      </c>
      <c r="O3" s="88">
        <f>'ERP2 New measures - detailed'!O27</f>
        <v>51972.552219795121</v>
      </c>
      <c r="P3" s="88">
        <f>'ERP2 New measures - detailed'!P27</f>
        <v>50021.614234215027</v>
      </c>
      <c r="Q3" s="88">
        <f>'ERP2 New measures - detailed'!Q27</f>
        <v>47864.895479928979</v>
      </c>
      <c r="R3" s="88">
        <f>'ERP2 New measures - detailed'!R27</f>
        <v>45763.93867289534</v>
      </c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</row>
    <row r="4" spans="1:33">
      <c r="B4" t="s">
        <v>318</v>
      </c>
      <c r="C4" s="5">
        <f t="shared" ref="C4:M4" si="0">C3</f>
        <v>75692.61877955019</v>
      </c>
      <c r="D4" s="5">
        <f>D3</f>
        <v>75737.688231987035</v>
      </c>
      <c r="E4" s="5">
        <f t="shared" si="0"/>
        <v>72743.887236956318</v>
      </c>
      <c r="F4" s="5">
        <f t="shared" si="0"/>
        <v>71227.336586108795</v>
      </c>
      <c r="G4" s="5">
        <f t="shared" si="0"/>
        <v>71147.765726277677</v>
      </c>
      <c r="H4" s="5">
        <f t="shared" si="0"/>
        <v>69017.849740273829</v>
      </c>
      <c r="I4" s="5">
        <f t="shared" si="0"/>
        <v>65932.055473631757</v>
      </c>
      <c r="J4" s="5">
        <f t="shared" si="0"/>
        <v>63673.713724902351</v>
      </c>
      <c r="K4" s="5">
        <f t="shared" si="0"/>
        <v>60439.90064234598</v>
      </c>
      <c r="L4" s="5">
        <f t="shared" si="0"/>
        <v>57862.514098637184</v>
      </c>
      <c r="M4" s="5">
        <f t="shared" si="0"/>
        <v>55179.666499609288</v>
      </c>
      <c r="N4" s="259">
        <f>N3+($E$16*(N3/SUM($N$3:$R$3)))</f>
        <v>51314.841471996551</v>
      </c>
      <c r="O4" s="259">
        <f>O3+($E$16*(O3/SUM($N$3:$R$3)))</f>
        <v>49810.513905862244</v>
      </c>
      <c r="P4" s="259">
        <f>P3+($E$16*(P3/SUM($N$3:$R$3)))</f>
        <v>47940.734195040197</v>
      </c>
      <c r="Q4" s="259">
        <f>Q3+($E$16*(Q3/SUM($N$3:$R$3)))</f>
        <v>45873.734116862732</v>
      </c>
      <c r="R4" s="259">
        <f>R3+($E$16*(R3/SUM($N$3:$R$3)))</f>
        <v>43860.17631023829</v>
      </c>
      <c r="S4" s="448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>
      <c r="B5" s="431"/>
      <c r="C5" s="353"/>
      <c r="D5" s="353"/>
      <c r="E5" s="432"/>
      <c r="F5" s="432"/>
      <c r="G5" s="432"/>
      <c r="H5" s="432"/>
      <c r="I5" s="433"/>
      <c r="J5" s="433"/>
      <c r="K5" s="433"/>
      <c r="L5" s="433"/>
      <c r="M5" s="433"/>
      <c r="N5" s="60"/>
      <c r="O5" s="60"/>
      <c r="P5" s="60"/>
      <c r="Q5" s="60"/>
      <c r="R5" s="60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</row>
    <row r="6" spans="1:33">
      <c r="B6" s="29"/>
      <c r="C6" s="132"/>
      <c r="D6" s="132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240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</row>
    <row r="7" spans="1:33" s="41" customFormat="1">
      <c r="A7" s="46" t="s">
        <v>319</v>
      </c>
      <c r="C7" s="346"/>
      <c r="D7" s="346"/>
      <c r="E7" s="142"/>
      <c r="F7" s="142"/>
      <c r="G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</row>
    <row r="8" spans="1:33">
      <c r="A8" s="1"/>
      <c r="C8" s="257"/>
      <c r="D8" s="257"/>
      <c r="E8" s="88"/>
      <c r="F8" s="88"/>
      <c r="G8" s="88"/>
      <c r="I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</row>
    <row r="9" spans="1:33">
      <c r="A9" s="1" t="s">
        <v>320</v>
      </c>
      <c r="C9" s="1" t="s">
        <v>313</v>
      </c>
      <c r="D9" s="1" t="s">
        <v>314</v>
      </c>
      <c r="E9" s="1" t="s">
        <v>315</v>
      </c>
      <c r="F9" s="1" t="s">
        <v>321</v>
      </c>
      <c r="G9" s="1"/>
      <c r="I9" s="88"/>
      <c r="L9" s="1"/>
      <c r="M9" s="88"/>
      <c r="R9" s="341"/>
      <c r="S9" s="341"/>
      <c r="T9" s="341"/>
      <c r="U9" s="341"/>
      <c r="V9" s="341"/>
      <c r="W9" s="341"/>
    </row>
    <row r="10" spans="1:33">
      <c r="B10" t="s">
        <v>322</v>
      </c>
      <c r="C10" s="14">
        <v>290000</v>
      </c>
      <c r="D10" s="14">
        <v>305000</v>
      </c>
      <c r="E10" s="14">
        <v>240000</v>
      </c>
      <c r="F10" s="202">
        <f>E10/1000</f>
        <v>240</v>
      </c>
      <c r="G10" s="88"/>
      <c r="I10" s="382"/>
      <c r="J10" s="382"/>
      <c r="K10" s="382"/>
      <c r="L10" s="10"/>
      <c r="M10" s="88"/>
    </row>
    <row r="11" spans="1:33" ht="30">
      <c r="B11" s="12" t="s">
        <v>323</v>
      </c>
      <c r="C11" s="14">
        <v>283300</v>
      </c>
      <c r="D11" s="14">
        <v>303900</v>
      </c>
      <c r="E11" s="14">
        <v>238800</v>
      </c>
      <c r="F11" s="202">
        <f t="shared" ref="F11:F12" si="1">E11/1000</f>
        <v>238.8</v>
      </c>
      <c r="G11" s="88"/>
      <c r="I11" s="382"/>
      <c r="J11" s="382"/>
      <c r="K11" s="382"/>
      <c r="L11" s="382"/>
      <c r="M11" s="88"/>
    </row>
    <row r="12" spans="1:33">
      <c r="B12" t="s">
        <v>324</v>
      </c>
      <c r="C12" s="88">
        <f>SUM(E3:H3)</f>
        <v>284136.83928961662</v>
      </c>
      <c r="D12" s="88">
        <f>SUM(I3:M3)</f>
        <v>303087.85043912655</v>
      </c>
      <c r="E12" s="5">
        <f>SUM(N3:R3)</f>
        <v>249165.176122112</v>
      </c>
      <c r="F12" s="202">
        <f t="shared" si="1"/>
        <v>249.165176122112</v>
      </c>
      <c r="I12" s="202"/>
    </row>
    <row r="13" spans="1:33">
      <c r="C13" s="88"/>
      <c r="D13" s="88"/>
      <c r="E13" s="5"/>
      <c r="F13" s="202"/>
      <c r="I13" s="202"/>
    </row>
    <row r="14" spans="1:33">
      <c r="A14" s="1" t="s">
        <v>325</v>
      </c>
      <c r="B14" s="1"/>
      <c r="C14" s="1"/>
      <c r="D14" s="1"/>
      <c r="E14" s="1"/>
      <c r="F14" s="1"/>
    </row>
    <row r="15" spans="1:33" ht="30">
      <c r="B15" s="12" t="s">
        <v>326</v>
      </c>
      <c r="C15" s="655">
        <f>C$10-C12</f>
        <v>5863.1607103833812</v>
      </c>
      <c r="D15" s="655">
        <f>D$10-D12</f>
        <v>1912.1495608734549</v>
      </c>
      <c r="E15" s="655">
        <f>E$10-E12</f>
        <v>-9165.1761221119959</v>
      </c>
      <c r="F15" s="655">
        <f t="shared" ref="F15:F16" si="2">E15/1000</f>
        <v>-9.1651761221119958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33" ht="45">
      <c r="B16" s="12" t="s">
        <v>327</v>
      </c>
      <c r="C16" s="654">
        <f>C11-C12</f>
        <v>-836.83928961661877</v>
      </c>
      <c r="D16" s="654">
        <f>D11-D12</f>
        <v>812.1495608734549</v>
      </c>
      <c r="E16" s="654">
        <f>E11-E12</f>
        <v>-10365.176122111996</v>
      </c>
      <c r="F16" s="655">
        <f t="shared" si="2"/>
        <v>-10.365176122111995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4"/>
    </row>
    <row r="17" spans="1:33">
      <c r="C17" s="88"/>
      <c r="D17" s="88"/>
      <c r="E17" s="5"/>
      <c r="F17" s="202"/>
      <c r="I17" s="202"/>
    </row>
    <row r="18" spans="1:33">
      <c r="C18" s="257"/>
      <c r="D18" s="257"/>
      <c r="E18" s="88"/>
      <c r="F18" s="88"/>
      <c r="G18" s="88"/>
      <c r="H18" s="88"/>
      <c r="I18" s="88"/>
      <c r="J18" s="88"/>
      <c r="K18" s="88"/>
      <c r="L18" s="88"/>
      <c r="M18" s="202"/>
      <c r="N18" s="88"/>
      <c r="O18" s="88"/>
      <c r="P18" s="88"/>
      <c r="Q18" s="341"/>
      <c r="R18" s="341"/>
      <c r="S18" s="341"/>
      <c r="T18" s="341"/>
      <c r="U18" s="341"/>
      <c r="V18" s="341"/>
      <c r="W18" s="341"/>
      <c r="X18" s="341"/>
      <c r="Y18" s="341"/>
      <c r="Z18" s="88"/>
      <c r="AA18" s="88"/>
      <c r="AB18" s="88"/>
      <c r="AC18" s="88"/>
      <c r="AD18" s="88"/>
      <c r="AE18" s="88"/>
      <c r="AF18" s="88"/>
      <c r="AG18" s="88"/>
    </row>
    <row r="19" spans="1:33" s="21" customFormat="1">
      <c r="A19" s="42" t="s">
        <v>328</v>
      </c>
    </row>
    <row r="20" spans="1:33">
      <c r="E20" s="1">
        <v>2022</v>
      </c>
      <c r="F20" s="1">
        <v>2023</v>
      </c>
      <c r="G20" s="1">
        <v>2024</v>
      </c>
      <c r="H20" s="1">
        <v>2025</v>
      </c>
      <c r="I20" s="1">
        <v>2026</v>
      </c>
      <c r="J20" s="1">
        <v>2027</v>
      </c>
      <c r="K20" s="1">
        <v>2028</v>
      </c>
      <c r="L20" s="1">
        <v>2029</v>
      </c>
      <c r="M20" s="1">
        <v>2030</v>
      </c>
      <c r="N20" s="1">
        <v>2031</v>
      </c>
      <c r="O20" s="1">
        <v>2032</v>
      </c>
      <c r="P20" s="1">
        <v>2033</v>
      </c>
      <c r="Q20" s="1">
        <v>2034</v>
      </c>
      <c r="R20" s="1">
        <v>2035</v>
      </c>
      <c r="S20" s="1"/>
      <c r="T20" s="1"/>
      <c r="U20" s="1"/>
      <c r="V20" s="1"/>
      <c r="W20" s="1"/>
    </row>
    <row r="21" spans="1:33">
      <c r="B21" t="s">
        <v>329</v>
      </c>
      <c r="E21" s="447">
        <f t="shared" ref="E21:R21" si="3">E3/1000</f>
        <v>72.743887236956311</v>
      </c>
      <c r="F21" s="447">
        <f t="shared" si="3"/>
        <v>71.227336586108791</v>
      </c>
      <c r="G21" s="447">
        <f t="shared" si="3"/>
        <v>71.147765726277683</v>
      </c>
      <c r="H21" s="447">
        <f t="shared" si="3"/>
        <v>69.017849740273832</v>
      </c>
      <c r="I21" s="447">
        <f t="shared" si="3"/>
        <v>65.932055473631763</v>
      </c>
      <c r="J21" s="447">
        <f t="shared" si="3"/>
        <v>63.673713724902349</v>
      </c>
      <c r="K21" s="447">
        <f t="shared" si="3"/>
        <v>60.439900642345982</v>
      </c>
      <c r="L21" s="447">
        <f t="shared" si="3"/>
        <v>57.862514098637185</v>
      </c>
      <c r="M21" s="447">
        <f t="shared" si="3"/>
        <v>55.17966649960929</v>
      </c>
      <c r="N21" s="447">
        <f t="shared" si="3"/>
        <v>53.542175515277542</v>
      </c>
      <c r="O21" s="447">
        <f t="shared" si="3"/>
        <v>51.972552219795119</v>
      </c>
      <c r="P21" s="447">
        <f t="shared" si="3"/>
        <v>50.021614234215029</v>
      </c>
      <c r="Q21" s="447">
        <f t="shared" si="3"/>
        <v>47.864895479928975</v>
      </c>
      <c r="R21" s="447">
        <f t="shared" si="3"/>
        <v>45.763938672895343</v>
      </c>
      <c r="S21" s="447"/>
      <c r="T21" s="447"/>
      <c r="U21" s="447"/>
      <c r="V21" s="447"/>
      <c r="W21" s="447"/>
    </row>
    <row r="22" spans="1:33">
      <c r="B22" t="s">
        <v>330</v>
      </c>
      <c r="E22" s="447">
        <f t="shared" ref="E22:R22" si="4">E4/1000</f>
        <v>72.743887236956311</v>
      </c>
      <c r="F22" s="447">
        <f t="shared" si="4"/>
        <v>71.227336586108791</v>
      </c>
      <c r="G22" s="447">
        <f t="shared" si="4"/>
        <v>71.147765726277683</v>
      </c>
      <c r="H22" s="447">
        <f t="shared" si="4"/>
        <v>69.017849740273832</v>
      </c>
      <c r="I22" s="447">
        <f t="shared" si="4"/>
        <v>65.932055473631763</v>
      </c>
      <c r="J22" s="447">
        <f t="shared" si="4"/>
        <v>63.673713724902349</v>
      </c>
      <c r="K22" s="447">
        <f t="shared" si="4"/>
        <v>60.439900642345982</v>
      </c>
      <c r="L22" s="447">
        <f t="shared" si="4"/>
        <v>57.862514098637185</v>
      </c>
      <c r="M22" s="447">
        <f t="shared" si="4"/>
        <v>55.17966649960929</v>
      </c>
      <c r="N22" s="447">
        <f t="shared" si="4"/>
        <v>51.314841471996552</v>
      </c>
      <c r="O22" s="447">
        <f t="shared" si="4"/>
        <v>49.810513905862244</v>
      </c>
      <c r="P22" s="447">
        <f t="shared" si="4"/>
        <v>47.9407341950402</v>
      </c>
      <c r="Q22" s="447">
        <f t="shared" si="4"/>
        <v>45.873734116862735</v>
      </c>
      <c r="R22" s="447">
        <f t="shared" si="4"/>
        <v>43.860176310238288</v>
      </c>
      <c r="S22" s="447"/>
      <c r="T22" s="447"/>
      <c r="U22" s="447"/>
      <c r="V22" s="447"/>
      <c r="W22" s="447"/>
    </row>
    <row r="23" spans="1:33">
      <c r="B23" t="s">
        <v>331</v>
      </c>
      <c r="E23" s="5">
        <f t="shared" ref="E23:R23" si="5">E21-E22</f>
        <v>0</v>
      </c>
      <c r="F23" s="5">
        <f t="shared" si="5"/>
        <v>0</v>
      </c>
      <c r="G23" s="5">
        <f t="shared" si="5"/>
        <v>0</v>
      </c>
      <c r="H23" s="5">
        <f t="shared" si="5"/>
        <v>0</v>
      </c>
      <c r="I23" s="5">
        <f t="shared" si="5"/>
        <v>0</v>
      </c>
      <c r="J23" s="5">
        <f t="shared" si="5"/>
        <v>0</v>
      </c>
      <c r="K23" s="5">
        <f t="shared" si="5"/>
        <v>0</v>
      </c>
      <c r="L23" s="5">
        <f t="shared" si="5"/>
        <v>0</v>
      </c>
      <c r="M23" s="5">
        <f t="shared" si="5"/>
        <v>0</v>
      </c>
      <c r="N23" s="5">
        <f t="shared" si="5"/>
        <v>2.2273340432809903</v>
      </c>
      <c r="O23" s="5">
        <f t="shared" si="5"/>
        <v>2.1620383139328752</v>
      </c>
      <c r="P23" s="5">
        <f t="shared" si="5"/>
        <v>2.0808800391748292</v>
      </c>
      <c r="Q23" s="5">
        <f t="shared" si="5"/>
        <v>1.9911613630662401</v>
      </c>
      <c r="R23" s="5">
        <f t="shared" si="5"/>
        <v>1.903762362657055</v>
      </c>
      <c r="S23" s="5"/>
      <c r="T23" s="5"/>
      <c r="U23" s="5"/>
      <c r="V23" s="5"/>
      <c r="W23" s="5"/>
    </row>
    <row r="24" spans="1:33">
      <c r="B24" t="s">
        <v>332</v>
      </c>
      <c r="E24" s="5">
        <f>($C$10/4)/1000</f>
        <v>72.5</v>
      </c>
      <c r="F24" s="5">
        <f t="shared" ref="F24:H24" si="6">($C$10/4)/1000</f>
        <v>72.5</v>
      </c>
      <c r="G24" s="5">
        <f t="shared" si="6"/>
        <v>72.5</v>
      </c>
      <c r="H24" s="5">
        <f t="shared" si="6"/>
        <v>72.5</v>
      </c>
      <c r="I24" s="9">
        <f>($D$11/5)/1000</f>
        <v>60.78</v>
      </c>
      <c r="J24" s="9">
        <f t="shared" ref="J24:M24" si="7">($D$11/5)/1000</f>
        <v>60.78</v>
      </c>
      <c r="K24" s="9">
        <f t="shared" si="7"/>
        <v>60.78</v>
      </c>
      <c r="L24" s="9">
        <f t="shared" si="7"/>
        <v>60.78</v>
      </c>
      <c r="M24" s="9">
        <f t="shared" si="7"/>
        <v>60.78</v>
      </c>
      <c r="N24" s="9">
        <f>($E$11/5)/1000</f>
        <v>47.76</v>
      </c>
      <c r="O24" s="9">
        <f t="shared" ref="O24:R24" si="8">($E$11/5)/1000</f>
        <v>47.76</v>
      </c>
      <c r="P24" s="9">
        <f t="shared" si="8"/>
        <v>47.76</v>
      </c>
      <c r="Q24" s="9">
        <f t="shared" si="8"/>
        <v>47.76</v>
      </c>
      <c r="R24" s="9">
        <f t="shared" si="8"/>
        <v>47.76</v>
      </c>
      <c r="S24" s="5"/>
      <c r="T24" s="5"/>
      <c r="U24" s="5"/>
      <c r="V24" s="5"/>
      <c r="W24" s="5"/>
    </row>
    <row r="25" spans="1:33">
      <c r="E25" s="1"/>
      <c r="F25" s="1"/>
      <c r="G25" s="1"/>
      <c r="H25" s="1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  <c r="T25" s="1"/>
      <c r="U25" s="1"/>
      <c r="V25" s="1"/>
      <c r="W25" s="1"/>
    </row>
    <row r="26" spans="1:33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33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9" spans="1:33" ht="11.25" customHeight="1">
      <c r="B29" s="12"/>
      <c r="C29" s="14"/>
      <c r="D29" s="14"/>
      <c r="E29" s="5"/>
      <c r="F29" s="202"/>
    </row>
    <row r="30" spans="1:33">
      <c r="B30" s="12"/>
      <c r="C30" s="14"/>
      <c r="D30" s="14"/>
      <c r="F30" s="14"/>
    </row>
    <row r="32" spans="1:33">
      <c r="B32" s="12"/>
      <c r="C32" s="14"/>
      <c r="D32" s="14"/>
      <c r="E32" s="1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4"/>
    </row>
    <row r="33" spans="2:33">
      <c r="C33" s="88"/>
      <c r="N33" s="33"/>
      <c r="O33" s="33"/>
      <c r="P33" s="33"/>
      <c r="Q33" s="33"/>
      <c r="R33" s="33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</row>
    <row r="34" spans="2:33">
      <c r="B34" s="88"/>
      <c r="C34" s="257"/>
      <c r="D34" s="257"/>
      <c r="E34" s="88"/>
      <c r="F34" s="88"/>
      <c r="G34" s="88"/>
      <c r="H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</row>
    <row r="35" spans="2:33">
      <c r="C35" s="14"/>
      <c r="D35" s="14"/>
      <c r="E35" s="14"/>
      <c r="F35" s="7"/>
      <c r="T35" s="5"/>
    </row>
    <row r="43" spans="2:33">
      <c r="C43" s="14"/>
      <c r="D43" s="14"/>
      <c r="E43" s="14"/>
    </row>
    <row r="44" spans="2:33">
      <c r="C44" s="14"/>
      <c r="D44" s="14"/>
      <c r="E44" s="14"/>
    </row>
    <row r="45" spans="2:33">
      <c r="C45" s="14"/>
      <c r="D45" s="14"/>
      <c r="E45" s="14"/>
    </row>
    <row r="46" spans="2:33">
      <c r="C46" s="14"/>
      <c r="D46" s="14"/>
      <c r="E46" s="14"/>
    </row>
    <row r="47" spans="2:33">
      <c r="C47" s="14"/>
      <c r="D47" s="14"/>
      <c r="E47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A674-3559-46B4-AAC0-081F95DA62B8}">
  <sheetPr>
    <tabColor theme="5" tint="0.79998168889431442"/>
  </sheetPr>
  <dimension ref="A1:AC105"/>
  <sheetViews>
    <sheetView zoomScale="70" zoomScaleNormal="70" workbookViewId="0">
      <pane ySplit="2" topLeftCell="A3" activePane="bottomLeft" state="frozen"/>
      <selection pane="bottomLeft" activeCell="B9" sqref="B9"/>
    </sheetView>
  </sheetViews>
  <sheetFormatPr defaultColWidth="8.7109375" defaultRowHeight="15"/>
  <cols>
    <col min="1" max="1" width="22.85546875" style="14" customWidth="1"/>
    <col min="2" max="2" width="37.7109375" style="14" customWidth="1"/>
    <col min="3" max="14" width="14.140625" style="14" customWidth="1"/>
    <col min="15" max="29" width="14.85546875" style="88" customWidth="1"/>
    <col min="30" max="16384" width="8.7109375" style="14"/>
  </cols>
  <sheetData>
    <row r="1" spans="1:29">
      <c r="A1" s="89" t="s">
        <v>333</v>
      </c>
      <c r="H1" s="14" t="s">
        <v>314</v>
      </c>
      <c r="I1" s="258">
        <f>SUM(E6:I6)</f>
        <v>303087.85043912655</v>
      </c>
      <c r="M1" s="89" t="s">
        <v>315</v>
      </c>
      <c r="N1" s="100">
        <f>SUM(J6:N6)</f>
        <v>238800</v>
      </c>
      <c r="O1" s="251"/>
    </row>
    <row r="2" spans="1:29">
      <c r="A2" s="1" t="s">
        <v>334</v>
      </c>
      <c r="C2" s="107">
        <v>2024</v>
      </c>
      <c r="D2" s="107">
        <v>2025</v>
      </c>
      <c r="E2" s="108">
        <v>2026</v>
      </c>
      <c r="F2" s="108">
        <v>2027</v>
      </c>
      <c r="G2" s="108">
        <v>2028</v>
      </c>
      <c r="H2" s="108">
        <v>2029</v>
      </c>
      <c r="I2" s="108">
        <v>2030</v>
      </c>
      <c r="J2" s="109">
        <v>2031</v>
      </c>
      <c r="K2" s="109">
        <v>2032</v>
      </c>
      <c r="L2" s="109">
        <v>2033</v>
      </c>
      <c r="M2" s="109">
        <v>2034</v>
      </c>
      <c r="N2" s="109">
        <v>2035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</row>
    <row r="3" spans="1:29" s="92" customFormat="1"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>
      <c r="A4" s="243"/>
      <c r="B4" t="s">
        <v>335</v>
      </c>
      <c r="C4" s="14">
        <f>'ERP2 summary'!D10</f>
        <v>77487.163334364479</v>
      </c>
      <c r="D4" s="14">
        <f>'ERP2 summary'!E10</f>
        <v>76389.274409654623</v>
      </c>
      <c r="E4" s="14">
        <f>'ERP2 summary'!F10</f>
        <v>74720.562304756109</v>
      </c>
      <c r="F4" s="14">
        <f>'ERP2 summary'!G10</f>
        <v>74077.526105449855</v>
      </c>
      <c r="G4" s="14">
        <f>'ERP2 summary'!H10</f>
        <v>72786.092459466643</v>
      </c>
      <c r="H4" s="14">
        <f>'ERP2 summary'!I10</f>
        <v>71788.943556113794</v>
      </c>
      <c r="I4" s="14">
        <f>'ERP2 summary'!J10</f>
        <v>70012.408411787168</v>
      </c>
      <c r="J4" s="14">
        <f>'ERP2 summary'!K10</f>
        <v>68977.119252204575</v>
      </c>
      <c r="K4" s="14">
        <f>'ERP2 summary'!L10</f>
        <v>67968.91427053092</v>
      </c>
      <c r="L4" s="14">
        <f>'ERP2 summary'!M10</f>
        <v>66721.890160383176</v>
      </c>
      <c r="M4" s="14">
        <f>'ERP2 summary'!N10</f>
        <v>65486.430077221507</v>
      </c>
      <c r="N4" s="14">
        <f>'ERP2 summary'!O10</f>
        <v>64285.003670592341</v>
      </c>
    </row>
    <row r="5" spans="1:29" s="94" customFormat="1">
      <c r="A5" s="93"/>
      <c r="B5" s="310" t="s">
        <v>336</v>
      </c>
      <c r="C5" s="14">
        <f>'ERP2 summary'!D9</f>
        <v>71147.765726277692</v>
      </c>
      <c r="D5" s="14">
        <f>'ERP2 summary'!E9</f>
        <v>69017.849740273829</v>
      </c>
      <c r="E5" s="14">
        <f>'ERP2 summary'!F9</f>
        <v>65932.055473631757</v>
      </c>
      <c r="F5" s="14">
        <f>'ERP2 summary'!G9</f>
        <v>63673.713724902358</v>
      </c>
      <c r="G5" s="14">
        <f>'ERP2 summary'!H9</f>
        <v>60439.900642345965</v>
      </c>
      <c r="H5" s="14">
        <f>'ERP2 summary'!I9</f>
        <v>57862.51409863717</v>
      </c>
      <c r="I5" s="14">
        <f>'ERP2 summary'!J9</f>
        <v>55179.666499609273</v>
      </c>
      <c r="J5" s="14">
        <f>'ERP2 summary'!K9</f>
        <v>53542.175515277551</v>
      </c>
      <c r="K5" s="14">
        <f>'ERP2 summary'!L9</f>
        <v>51972.552219795129</v>
      </c>
      <c r="L5" s="14">
        <f>'ERP2 summary'!M9</f>
        <v>50021.61423421502</v>
      </c>
      <c r="M5" s="14">
        <f>'ERP2 summary'!N9</f>
        <v>47864.895479928979</v>
      </c>
      <c r="N5" s="14">
        <f>'ERP2 summary'!O9</f>
        <v>45763.93867289534</v>
      </c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s="94" customFormat="1">
      <c r="A6" s="93"/>
      <c r="B6" t="s">
        <v>337</v>
      </c>
      <c r="C6" s="14">
        <f>'1. Align with reduction targets'!G4</f>
        <v>71147.765726277677</v>
      </c>
      <c r="D6" s="14">
        <f>'1. Align with reduction targets'!H4</f>
        <v>69017.849740273829</v>
      </c>
      <c r="E6" s="14">
        <f>'1. Align with reduction targets'!I4</f>
        <v>65932.055473631757</v>
      </c>
      <c r="F6" s="14">
        <f>'1. Align with reduction targets'!J4</f>
        <v>63673.713724902351</v>
      </c>
      <c r="G6" s="14">
        <f>'1. Align with reduction targets'!K4</f>
        <v>60439.90064234598</v>
      </c>
      <c r="H6" s="14">
        <f>'1. Align with reduction targets'!L4</f>
        <v>57862.514098637184</v>
      </c>
      <c r="I6" s="14">
        <f>'1. Align with reduction targets'!M4</f>
        <v>55179.666499609288</v>
      </c>
      <c r="J6" s="259">
        <f>'1. Align with reduction targets'!N4</f>
        <v>51314.841471996551</v>
      </c>
      <c r="K6" s="259">
        <f>'1. Align with reduction targets'!O4</f>
        <v>49810.513905862244</v>
      </c>
      <c r="L6" s="259">
        <f>'1. Align with reduction targets'!P4</f>
        <v>47940.734195040197</v>
      </c>
      <c r="M6" s="259">
        <f>'1. Align with reduction targets'!Q4</f>
        <v>45873.734116862732</v>
      </c>
      <c r="N6" s="259">
        <f>'1. Align with reduction targets'!R4</f>
        <v>43860.17631023829</v>
      </c>
      <c r="O6" s="44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s="90" customFormat="1">
      <c r="A7" s="95" t="s">
        <v>338</v>
      </c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</row>
    <row r="8" spans="1:29">
      <c r="B8" t="s">
        <v>339</v>
      </c>
      <c r="C8" s="14">
        <f>'ERP2 summary'!D6</f>
        <v>39972.504130988651</v>
      </c>
      <c r="D8" s="14">
        <f>'ERP2 summary'!E6</f>
        <v>39605.623785565236</v>
      </c>
      <c r="E8" s="14">
        <f>'ERP2 summary'!F6</f>
        <v>39403.107980066154</v>
      </c>
      <c r="F8" s="14">
        <f>'ERP2 summary'!G6</f>
        <v>39254.616112724922</v>
      </c>
      <c r="G8" s="14">
        <f>'ERP2 summary'!H6</f>
        <v>39277.32304122021</v>
      </c>
      <c r="H8" s="14">
        <f>'ERP2 summary'!I6</f>
        <v>39166.732306191858</v>
      </c>
      <c r="I8" s="14">
        <f>'ERP2 summary'!J6</f>
        <v>38971.559832769119</v>
      </c>
      <c r="J8" s="14">
        <f>'ERP2 summary'!K6</f>
        <v>38243.642629082671</v>
      </c>
      <c r="K8" s="14">
        <f>'ERP2 summary'!L6</f>
        <v>37633.390222895017</v>
      </c>
      <c r="L8" s="14">
        <f>'ERP2 summary'!M6</f>
        <v>36794.99234863434</v>
      </c>
      <c r="M8" s="14">
        <f>'ERP2 summary'!N6</f>
        <v>36065.504019836502</v>
      </c>
      <c r="N8" s="14">
        <f>'ERP2 summary'!O6</f>
        <v>35350.645213871321</v>
      </c>
    </row>
    <row r="9" spans="1:29">
      <c r="B9" t="s">
        <v>340</v>
      </c>
      <c r="C9" s="14">
        <f>'ERP2 summary'!D18</f>
        <v>2367.0191425069256</v>
      </c>
      <c r="D9" s="14">
        <f>'ERP2 summary'!E18</f>
        <v>2364.7067622489931</v>
      </c>
      <c r="E9" s="14">
        <f>'ERP2 summary'!F18</f>
        <v>2272.0999081311829</v>
      </c>
      <c r="F9" s="14">
        <f>'ERP2 summary'!G18</f>
        <v>2231.0229605450486</v>
      </c>
      <c r="G9" s="14">
        <f>'ERP2 summary'!H18</f>
        <v>2191.0555104440446</v>
      </c>
      <c r="H9" s="14">
        <f>'ERP2 summary'!I18</f>
        <v>2154.3417476402478</v>
      </c>
      <c r="I9" s="14">
        <f>'ERP2 summary'!J18</f>
        <v>2123.3439499977085</v>
      </c>
      <c r="J9" s="14">
        <f>'ERP2 summary'!K18</f>
        <v>2175.4150954284851</v>
      </c>
      <c r="K9" s="14">
        <f>'ERP2 summary'!L18</f>
        <v>2183.6024270131338</v>
      </c>
      <c r="L9" s="14">
        <f>'ERP2 summary'!M18</f>
        <v>2190.75913914492</v>
      </c>
      <c r="M9" s="14">
        <f>'ERP2 summary'!N18</f>
        <v>2199.590047365868</v>
      </c>
      <c r="N9" s="14">
        <f>'ERP2 summary'!O18</f>
        <v>2205.2414118633424</v>
      </c>
    </row>
    <row r="10" spans="1:29">
      <c r="A10"/>
      <c r="B10" t="s">
        <v>341</v>
      </c>
      <c r="C10" s="14">
        <f>'ERP2 summary'!D29</f>
        <v>668.56318911907192</v>
      </c>
      <c r="D10" s="14">
        <f>'ERP2 summary'!E29</f>
        <v>622.28521807967275</v>
      </c>
      <c r="E10" s="14">
        <f>'ERP2 summary'!F29</f>
        <v>609.5062025862394</v>
      </c>
      <c r="F10" s="14">
        <f>'ERP2 summary'!G29</f>
        <v>579.91434523433361</v>
      </c>
      <c r="G10" s="14">
        <f>'ERP2 summary'!H29</f>
        <v>534.88684249582593</v>
      </c>
      <c r="H10" s="14">
        <f>'ERP2 summary'!I29</f>
        <v>509.2022504587037</v>
      </c>
      <c r="I10" s="14">
        <f>'ERP2 summary'!J29</f>
        <v>507.98603659031681</v>
      </c>
      <c r="J10" s="14">
        <f>'ERP2 summary'!K29</f>
        <v>508.86969705885025</v>
      </c>
      <c r="K10" s="14">
        <f>'ERP2 summary'!L29</f>
        <v>480.89873482363538</v>
      </c>
      <c r="L10" s="14">
        <f>'ERP2 summary'!M29</f>
        <v>481.75605213099828</v>
      </c>
      <c r="M10" s="14">
        <f>'ERP2 summary'!N29</f>
        <v>462.40293782427028</v>
      </c>
      <c r="N10" s="14">
        <f>'ERP2 summary'!O29</f>
        <v>455.58093964346</v>
      </c>
    </row>
    <row r="11" spans="1:29">
      <c r="B11" t="s">
        <v>342</v>
      </c>
      <c r="C11" s="14">
        <f>'ERP2 summary'!D21</f>
        <v>182.68673446211366</v>
      </c>
      <c r="D11" s="14">
        <f>'ERP2 summary'!E21</f>
        <v>179.02961164801675</v>
      </c>
      <c r="E11" s="14">
        <f>'ERP2 summary'!F21</f>
        <v>138.15973340867441</v>
      </c>
      <c r="F11" s="14">
        <f>'ERP2 summary'!G21</f>
        <v>135.87493452950525</v>
      </c>
      <c r="G11" s="14">
        <f>'ERP2 summary'!H21</f>
        <v>130.21751769678139</v>
      </c>
      <c r="H11" s="14">
        <f>'ERP2 summary'!I21</f>
        <v>128.26658298881017</v>
      </c>
      <c r="I11" s="14">
        <f>'ERP2 summary'!J21</f>
        <v>126.19201080808187</v>
      </c>
      <c r="J11" s="14">
        <f>'ERP2 summary'!K21</f>
        <v>126.26311926069388</v>
      </c>
      <c r="K11" s="14">
        <f>'ERP2 summary'!L21</f>
        <v>123.98571677333078</v>
      </c>
      <c r="L11" s="14">
        <f>'ERP2 summary'!M21</f>
        <v>124.05499802712853</v>
      </c>
      <c r="M11" s="14">
        <f>'ERP2 summary'!N21</f>
        <v>122.47937339134791</v>
      </c>
      <c r="N11" s="14">
        <f>'ERP2 summary'!O21</f>
        <v>121.92389438456806</v>
      </c>
    </row>
    <row r="12" spans="1:29">
      <c r="B12" t="s">
        <v>343</v>
      </c>
      <c r="C12" s="14">
        <f>'ERP2 summary'!D33</f>
        <v>59.118143005959169</v>
      </c>
      <c r="D12" s="14">
        <f>'ERP2 summary'!E33</f>
        <v>59.331679708252665</v>
      </c>
      <c r="E12" s="14">
        <f>'ERP2 summary'!F33</f>
        <v>59.545216410546161</v>
      </c>
      <c r="F12" s="14">
        <f>'ERP2 summary'!G33</f>
        <v>59.758753112839663</v>
      </c>
      <c r="G12" s="14">
        <f>'ERP2 summary'!H33</f>
        <v>59.972289815133166</v>
      </c>
      <c r="H12" s="14">
        <f>'ERP2 summary'!I33</f>
        <v>60.185826517426669</v>
      </c>
      <c r="I12" s="14">
        <f>'ERP2 summary'!J33</f>
        <v>60.399247676725665</v>
      </c>
      <c r="J12" s="14">
        <f>'ERP2 summary'!K33</f>
        <v>60.718283341148528</v>
      </c>
      <c r="K12" s="14">
        <f>'ERP2 summary'!L33</f>
        <v>61.037287839233819</v>
      </c>
      <c r="L12" s="14">
        <f>'ERP2 summary'!M33</f>
        <v>61.356276080277922</v>
      </c>
      <c r="M12" s="14">
        <f>'ERP2 summary'!N33</f>
        <v>61.675256379811373</v>
      </c>
      <c r="N12" s="14">
        <f>'ERP2 summary'!O33</f>
        <v>61.994233061667565</v>
      </c>
    </row>
    <row r="13" spans="1:29" s="89" customFormat="1">
      <c r="B13" s="89" t="s">
        <v>344</v>
      </c>
      <c r="C13" s="100">
        <f t="shared" ref="C13:N13" si="0">SUM(C8:C12)</f>
        <v>43249.891340082722</v>
      </c>
      <c r="D13" s="100">
        <f t="shared" si="0"/>
        <v>42830.977057250173</v>
      </c>
      <c r="E13" s="100">
        <f t="shared" si="0"/>
        <v>42482.419040602799</v>
      </c>
      <c r="F13" s="100">
        <f t="shared" si="0"/>
        <v>42261.187106146652</v>
      </c>
      <c r="G13" s="100">
        <f t="shared" si="0"/>
        <v>42193.45520167199</v>
      </c>
      <c r="H13" s="100">
        <f t="shared" si="0"/>
        <v>42018.728713797042</v>
      </c>
      <c r="I13" s="100">
        <f t="shared" si="0"/>
        <v>41789.481077841949</v>
      </c>
      <c r="J13" s="100">
        <f t="shared" si="0"/>
        <v>41114.908824171849</v>
      </c>
      <c r="K13" s="100">
        <f t="shared" si="0"/>
        <v>40482.914389344347</v>
      </c>
      <c r="L13" s="100">
        <f t="shared" si="0"/>
        <v>39652.91881401767</v>
      </c>
      <c r="M13" s="100">
        <f t="shared" si="0"/>
        <v>38911.651634797803</v>
      </c>
      <c r="N13" s="100">
        <f t="shared" si="0"/>
        <v>38195.385692824369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>
      <c r="C14" s="30"/>
      <c r="D14" s="30"/>
      <c r="E14" s="30"/>
      <c r="F14" s="30"/>
      <c r="G14" s="30"/>
      <c r="H14" s="30"/>
      <c r="I14" s="37"/>
      <c r="J14" s="250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29" s="96" customFormat="1">
      <c r="A15" s="115"/>
      <c r="B15" s="542" t="s">
        <v>178</v>
      </c>
      <c r="C15" s="132">
        <f>'ERP2 summary'!D50</f>
        <v>-1219.9297138662341</v>
      </c>
      <c r="D15" s="132">
        <f>'ERP2 summary'!E50</f>
        <v>-967.94190399448235</v>
      </c>
      <c r="E15" s="132">
        <f>'ERP2 summary'!F50</f>
        <v>-787.77285887598191</v>
      </c>
      <c r="F15" s="132">
        <f>'ERP2 summary'!G50</f>
        <v>-488.58533956731299</v>
      </c>
      <c r="G15" s="132">
        <f>'ERP2 summary'!H50</f>
        <v>-426.8378643667802</v>
      </c>
      <c r="H15" s="132">
        <f>'ERP2 summary'!I50</f>
        <v>-353.67127880303633</v>
      </c>
      <c r="I15" s="132">
        <f>'ERP2 summary'!J50</f>
        <v>-322.29854833697209</v>
      </c>
      <c r="J15" s="132">
        <f>'ERP2 summary'!K50</f>
        <v>-446.03799047514258</v>
      </c>
      <c r="K15" s="132">
        <f>'ERP2 summary'!L50</f>
        <v>-593.2454067548606</v>
      </c>
      <c r="L15" s="132">
        <f>'ERP2 summary'!M50</f>
        <v>-848.58984335393689</v>
      </c>
      <c r="M15" s="132">
        <f>'ERP2 summary'!N50</f>
        <v>-1161.2138670105523</v>
      </c>
      <c r="N15" s="132">
        <f>'ERP2 summary'!O50</f>
        <v>-1505.2038254352119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1:29" s="96" customFormat="1">
      <c r="A16" s="4"/>
      <c r="B16" s="542" t="s">
        <v>179</v>
      </c>
      <c r="C16" s="132">
        <f>'ERP2 summary'!D51</f>
        <v>935.64807238908099</v>
      </c>
      <c r="D16" s="132">
        <f>'ERP2 summary'!E51</f>
        <v>971.80386163113099</v>
      </c>
      <c r="E16" s="132">
        <f>'ERP2 summary'!F51</f>
        <v>1014.779588964665</v>
      </c>
      <c r="F16" s="132">
        <f>'ERP2 summary'!G51</f>
        <v>1077.1061927234682</v>
      </c>
      <c r="G16" s="132">
        <f>'ERP2 summary'!H51</f>
        <v>1078.1403425406895</v>
      </c>
      <c r="H16" s="132">
        <f>'ERP2 summary'!I51</f>
        <v>1084.9041266797037</v>
      </c>
      <c r="I16" s="132">
        <f>'ERP2 summary'!J51</f>
        <v>1089.697566222922</v>
      </c>
      <c r="J16" s="132">
        <f>'ERP2 summary'!K51</f>
        <v>1093.7887474373827</v>
      </c>
      <c r="K16" s="132">
        <f>'ERP2 summary'!L51</f>
        <v>1096.9541191960709</v>
      </c>
      <c r="L16" s="132">
        <f>'ERP2 summary'!M51</f>
        <v>1102.7425940253254</v>
      </c>
      <c r="M16" s="132">
        <f>'ERP2 summary'!N51</f>
        <v>1108.636802812217</v>
      </c>
      <c r="N16" s="132">
        <f>'ERP2 summary'!O51</f>
        <v>1113.698177378631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1:29" s="240" customFormat="1">
      <c r="A17" s="238"/>
      <c r="B17" t="s">
        <v>345</v>
      </c>
      <c r="C17" s="239">
        <f>C15+C16</f>
        <v>-284.28164147715313</v>
      </c>
      <c r="D17" s="239">
        <f t="shared" ref="D17:L17" si="1">D15+D16</f>
        <v>3.8619576366486399</v>
      </c>
      <c r="E17" s="239">
        <f t="shared" si="1"/>
        <v>227.00673008868307</v>
      </c>
      <c r="F17" s="239">
        <f t="shared" si="1"/>
        <v>588.52085315615523</v>
      </c>
      <c r="G17" s="239">
        <f t="shared" si="1"/>
        <v>651.30247817390932</v>
      </c>
      <c r="H17" s="239">
        <f t="shared" si="1"/>
        <v>731.23284787666739</v>
      </c>
      <c r="I17" s="239">
        <f t="shared" si="1"/>
        <v>767.39901788594989</v>
      </c>
      <c r="J17" s="239">
        <f t="shared" si="1"/>
        <v>647.75075696224008</v>
      </c>
      <c r="K17" s="239">
        <f t="shared" si="1"/>
        <v>503.70871244121031</v>
      </c>
      <c r="L17" s="239">
        <f t="shared" si="1"/>
        <v>254.1527506713885</v>
      </c>
      <c r="M17" s="239">
        <f t="shared" ref="M17" si="2">M15+M16</f>
        <v>-52.577064198335393</v>
      </c>
      <c r="N17" s="239">
        <f t="shared" ref="N17" si="3">N15+N16</f>
        <v>-391.50564805658087</v>
      </c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</row>
    <row r="18" spans="1:29" s="240" customFormat="1">
      <c r="A18" s="238"/>
      <c r="B18" s="93"/>
      <c r="C18" s="239"/>
      <c r="D18" s="239"/>
      <c r="E18" s="239"/>
      <c r="F18" s="239"/>
      <c r="G18" s="239"/>
      <c r="H18" s="239"/>
      <c r="I18" s="239"/>
      <c r="J18" s="24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</row>
    <row r="19" spans="1:29" s="89" customFormat="1">
      <c r="B19" s="89" t="s">
        <v>346</v>
      </c>
      <c r="C19" s="100">
        <f>C13+C17</f>
        <v>42965.609698605571</v>
      </c>
      <c r="D19" s="100">
        <f>D13+D17</f>
        <v>42834.83901488682</v>
      </c>
      <c r="E19" s="100">
        <f>E13+E17</f>
        <v>42709.42577069148</v>
      </c>
      <c r="F19" s="100">
        <f t="shared" ref="F19:N19" si="4">F13+F17</f>
        <v>42849.70795930281</v>
      </c>
      <c r="G19" s="100">
        <f t="shared" si="4"/>
        <v>42844.757679845898</v>
      </c>
      <c r="H19" s="100">
        <f t="shared" si="4"/>
        <v>42749.961561673706</v>
      </c>
      <c r="I19" s="100">
        <f t="shared" si="4"/>
        <v>42556.880095727902</v>
      </c>
      <c r="J19" s="100">
        <f t="shared" si="4"/>
        <v>41762.659581134089</v>
      </c>
      <c r="K19" s="100">
        <f t="shared" si="4"/>
        <v>40986.623101785561</v>
      </c>
      <c r="L19" s="100">
        <f t="shared" si="4"/>
        <v>39907.07156468906</v>
      </c>
      <c r="M19" s="100">
        <f t="shared" si="4"/>
        <v>38859.07457059947</v>
      </c>
      <c r="N19" s="100">
        <f t="shared" si="4"/>
        <v>37803.880044767786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</row>
    <row r="20" spans="1:29" s="97" customFormat="1" ht="21">
      <c r="B20" s="203" t="s">
        <v>347</v>
      </c>
      <c r="C20" s="30">
        <f t="shared" ref="C20:N20" si="5">C13/C4</f>
        <v>0.5581555638248793</v>
      </c>
      <c r="D20" s="30">
        <f t="shared" si="5"/>
        <v>0.56069359721313028</v>
      </c>
      <c r="E20" s="30">
        <f t="shared" si="5"/>
        <v>0.56855058005764914</v>
      </c>
      <c r="F20" s="30">
        <f t="shared" si="5"/>
        <v>0.57049943927646241</v>
      </c>
      <c r="G20" s="30">
        <f t="shared" si="5"/>
        <v>0.57969117143043247</v>
      </c>
      <c r="H20" s="30">
        <f t="shared" si="5"/>
        <v>0.58530919431838579</v>
      </c>
      <c r="I20" s="30">
        <f t="shared" si="5"/>
        <v>0.5968867808696372</v>
      </c>
      <c r="J20" s="30">
        <f t="shared" si="5"/>
        <v>0.59606590228625378</v>
      </c>
      <c r="K20" s="30">
        <f t="shared" si="5"/>
        <v>0.59560925496343264</v>
      </c>
      <c r="L20" s="30">
        <f t="shared" si="5"/>
        <v>0.59430149114033959</v>
      </c>
      <c r="M20" s="30">
        <f t="shared" si="5"/>
        <v>0.59419411913144815</v>
      </c>
      <c r="N20" s="30">
        <f t="shared" si="5"/>
        <v>0.59415701192993997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>
      <c r="B21" s="14" t="s">
        <v>348</v>
      </c>
      <c r="C21" s="30">
        <f t="shared" ref="C21:N21" si="6">C19/C6</f>
        <v>0.60389260660558841</v>
      </c>
      <c r="D21" s="30">
        <f t="shared" si="6"/>
        <v>0.62063421529476459</v>
      </c>
      <c r="E21" s="30">
        <f t="shared" si="6"/>
        <v>0.64777937626671267</v>
      </c>
      <c r="F21" s="30">
        <f t="shared" si="6"/>
        <v>0.67295757468194584</v>
      </c>
      <c r="G21" s="30">
        <f t="shared" si="6"/>
        <v>0.70888200054100681</v>
      </c>
      <c r="H21" s="30">
        <f t="shared" si="6"/>
        <v>0.73881963526158956</v>
      </c>
      <c r="I21" s="30">
        <f t="shared" si="6"/>
        <v>0.77124206787348448</v>
      </c>
      <c r="J21" s="30">
        <f t="shared" si="6"/>
        <v>0.8138514781133005</v>
      </c>
      <c r="K21" s="30">
        <f t="shared" si="6"/>
        <v>0.82285083786220092</v>
      </c>
      <c r="L21" s="30">
        <f t="shared" si="6"/>
        <v>0.83242512311832151</v>
      </c>
      <c r="M21" s="30">
        <f t="shared" si="6"/>
        <v>0.84708767050893419</v>
      </c>
      <c r="N21" s="30">
        <f t="shared" si="6"/>
        <v>0.86191810487417531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>
      <c r="C22" s="122"/>
      <c r="D22" s="122"/>
      <c r="E22" s="122"/>
      <c r="F22" s="122"/>
      <c r="G22" s="122"/>
      <c r="H22" s="122"/>
      <c r="I22" s="122"/>
      <c r="J22" s="122"/>
      <c r="K22" s="122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s="91" customFormat="1">
      <c r="A23" s="98" t="s">
        <v>349</v>
      </c>
      <c r="C23" s="99"/>
      <c r="D23" s="99"/>
      <c r="E23" s="99"/>
      <c r="F23" s="99"/>
      <c r="G23" s="99"/>
      <c r="H23" s="99"/>
      <c r="I23" s="99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s="88" customFormat="1">
      <c r="A24" s="100"/>
      <c r="B24" s="88" t="s">
        <v>350</v>
      </c>
      <c r="C24" s="37">
        <f>'ERP2 summary'!D3</f>
        <v>14324.939761410242</v>
      </c>
      <c r="D24" s="37">
        <f>'ERP2 summary'!E3</f>
        <v>14317.80470662593</v>
      </c>
      <c r="E24" s="37">
        <f>'ERP2 summary'!F3</f>
        <v>14265.724646237953</v>
      </c>
      <c r="F24" s="37">
        <f>'ERP2 summary'!G3</f>
        <v>14160.752676811388</v>
      </c>
      <c r="G24" s="37">
        <f>'ERP2 summary'!H3</f>
        <v>13999.450981563212</v>
      </c>
      <c r="H24" s="37">
        <f>'ERP2 summary'!I3</f>
        <v>13848.929881369118</v>
      </c>
      <c r="I24" s="37">
        <f>'ERP2 summary'!J3</f>
        <v>13685.207202809144</v>
      </c>
      <c r="J24" s="37">
        <f>'ERP2 summary'!K3</f>
        <v>13499.240186713459</v>
      </c>
      <c r="K24" s="37">
        <f>'ERP2 summary'!L3</f>
        <v>13296.382676378276</v>
      </c>
      <c r="L24" s="37">
        <f>'ERP2 summary'!M3</f>
        <v>13064.209165470826</v>
      </c>
      <c r="M24" s="37">
        <f>'ERP2 summary'!N3</f>
        <v>12785.29841847738</v>
      </c>
      <c r="N24" s="37">
        <f>'ERP2 summary'!O3</f>
        <v>12510.455809503019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s="88" customFormat="1">
      <c r="A25" s="100"/>
      <c r="B25" s="88" t="s">
        <v>351</v>
      </c>
      <c r="C25" s="37">
        <f>'ERP2 summary'!D4-C12</f>
        <v>15409.056883997537</v>
      </c>
      <c r="D25" s="37">
        <f>'ERP2 summary'!E4-D12</f>
        <v>14820.672229959184</v>
      </c>
      <c r="E25" s="37">
        <f>'ERP2 summary'!F4-E12</f>
        <v>14505.476193140601</v>
      </c>
      <c r="F25" s="37">
        <f>'ERP2 summary'!G4-F12</f>
        <v>14376.457078947335</v>
      </c>
      <c r="G25" s="37">
        <f>'ERP2 summary'!H4-G12</f>
        <v>13461.329111682331</v>
      </c>
      <c r="H25" s="37">
        <f>'ERP2 summary'!I4-H12</f>
        <v>12850.135762191872</v>
      </c>
      <c r="I25" s="37">
        <f>'ERP2 summary'!J4-I12</f>
        <v>11566.958029012503</v>
      </c>
      <c r="J25" s="37">
        <f>'ERP2 summary'!K4-J12</f>
        <v>11415.203660996622</v>
      </c>
      <c r="K25" s="37">
        <f>'ERP2 summary'!L4-K12</f>
        <v>11254.503456756731</v>
      </c>
      <c r="L25" s="37">
        <f>'ERP2 summary'!M4-L12</f>
        <v>11066.367506464887</v>
      </c>
      <c r="M25" s="37">
        <f>'ERP2 summary'!N4-M12</f>
        <v>10868.538098508905</v>
      </c>
      <c r="N25" s="37">
        <f>'ERP2 summary'!O4-N12</f>
        <v>10666.670089761816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s="88" customFormat="1">
      <c r="A26" s="100"/>
      <c r="B26" s="88" t="s">
        <v>352</v>
      </c>
      <c r="C26" s="37">
        <f>'ERP2 summary'!D5-C10-C11</f>
        <v>3464.9048477250662</v>
      </c>
      <c r="D26" s="37">
        <f>'ERP2 summary'!E5-D10-D11</f>
        <v>3428.4367983520306</v>
      </c>
      <c r="E26" s="37">
        <f>'ERP2 summary'!F5-E10-E11</f>
        <v>2516.4944000579312</v>
      </c>
      <c r="F26" s="37">
        <f>'ERP2 summary'!G5-F10-F11</f>
        <v>2494.3904231968627</v>
      </c>
      <c r="G26" s="37">
        <f>'ERP2 summary'!H5-G10-G11</f>
        <v>2411.4132751432921</v>
      </c>
      <c r="H26" s="37">
        <f>'ERP2 summary'!I5-H10-H11</f>
        <v>2392.9560400186765</v>
      </c>
      <c r="I26" s="37">
        <f>'ERP2 summary'!J5-I10-I11</f>
        <v>2347.2330066318405</v>
      </c>
      <c r="J26" s="37">
        <f>'ERP2 summary'!K5-J10-J11</f>
        <v>2347.9582452269779</v>
      </c>
      <c r="K26" s="37">
        <f>'ERP2 summary'!L5-K10-K11</f>
        <v>2324.4007239285565</v>
      </c>
      <c r="L26" s="37">
        <f>'ERP2 summary'!M5-L10-L11</f>
        <v>2325.1109635046678</v>
      </c>
      <c r="M26" s="37">
        <f>'ERP2 summary'!N5-M10-M11</f>
        <v>2308.8140121991382</v>
      </c>
      <c r="N26" s="37">
        <f>'ERP2 summary'!O5-N10-N11</f>
        <v>2303.0677485057477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s="88" customFormat="1">
      <c r="A27" s="100"/>
      <c r="B27" s="88" t="s">
        <v>249</v>
      </c>
      <c r="C27" s="37">
        <f>'ERP2 summary'!D17</f>
        <v>1038.3705011489074</v>
      </c>
      <c r="D27" s="37">
        <f>'ERP2 summary'!E17</f>
        <v>991.3836174672939</v>
      </c>
      <c r="E27" s="37">
        <f>'ERP2 summary'!F17</f>
        <v>950.44802471683113</v>
      </c>
      <c r="F27" s="37">
        <f>'ERP2 summary'!G17</f>
        <v>784.73882034762119</v>
      </c>
      <c r="G27" s="37">
        <f>'ERP2 summary'!H17</f>
        <v>720.44388940581518</v>
      </c>
      <c r="H27" s="37">
        <f>'ERP2 summary'!I17</f>
        <v>678.19315873708899</v>
      </c>
      <c r="I27" s="37">
        <f>'ERP2 summary'!J17</f>
        <v>623.52909549173467</v>
      </c>
      <c r="J27" s="37">
        <f>'ERP2 summary'!K17</f>
        <v>599.80833509566662</v>
      </c>
      <c r="K27" s="37">
        <f>'ERP2 summary'!L17</f>
        <v>610.71302412299656</v>
      </c>
      <c r="L27" s="37">
        <f>'ERP2 summary'!M17</f>
        <v>613.28371092513362</v>
      </c>
      <c r="M27" s="37">
        <f>'ERP2 summary'!N17</f>
        <v>612.12791323828844</v>
      </c>
      <c r="N27" s="37">
        <f>'ERP2 summary'!O17</f>
        <v>609.4243299973989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s="88" customFormat="1">
      <c r="A28" s="100"/>
      <c r="B28" s="100" t="s">
        <v>353</v>
      </c>
      <c r="C28" s="132">
        <f>SUM(C24:C27)</f>
        <v>34237.271994281757</v>
      </c>
      <c r="D28" s="132">
        <f>SUM(D24:D27)</f>
        <v>33558.297352404436</v>
      </c>
      <c r="E28" s="132">
        <f t="shared" ref="E28:M28" si="7">SUM(E24:E27)</f>
        <v>32238.143264153317</v>
      </c>
      <c r="F28" s="132">
        <f t="shared" si="7"/>
        <v>31816.338999303207</v>
      </c>
      <c r="G28" s="132">
        <f t="shared" si="7"/>
        <v>30592.637257794649</v>
      </c>
      <c r="H28" s="132">
        <f t="shared" si="7"/>
        <v>29770.214842316756</v>
      </c>
      <c r="I28" s="132">
        <f t="shared" si="7"/>
        <v>28222.927333945223</v>
      </c>
      <c r="J28" s="132">
        <f>SUM(J24:J27)</f>
        <v>27862.210428032726</v>
      </c>
      <c r="K28" s="132">
        <f t="shared" si="7"/>
        <v>27485.999881186559</v>
      </c>
      <c r="L28" s="132">
        <f t="shared" si="7"/>
        <v>27068.971346365513</v>
      </c>
      <c r="M28" s="132">
        <f t="shared" si="7"/>
        <v>26574.778442423711</v>
      </c>
      <c r="N28" s="132">
        <f>SUM(N24:N27)</f>
        <v>26089.617977767983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s="88" customFormat="1">
      <c r="A29" s="100"/>
      <c r="B29" s="88" t="s">
        <v>354</v>
      </c>
      <c r="C29" s="132">
        <f t="shared" ref="C29:N29" si="8">C28-C43</f>
        <v>34237.271994281757</v>
      </c>
      <c r="D29" s="132">
        <f>D28-D43</f>
        <v>33558.297352404436</v>
      </c>
      <c r="E29" s="132">
        <f t="shared" si="8"/>
        <v>32238.143264153317</v>
      </c>
      <c r="F29" s="132">
        <f t="shared" si="8"/>
        <v>31816.338999303207</v>
      </c>
      <c r="G29" s="132">
        <f t="shared" si="8"/>
        <v>30592.637257794649</v>
      </c>
      <c r="H29" s="132">
        <f t="shared" si="8"/>
        <v>29770.214842316756</v>
      </c>
      <c r="I29" s="132">
        <f t="shared" si="8"/>
        <v>28222.927333945223</v>
      </c>
      <c r="J29" s="259">
        <f>J28-J43</f>
        <v>25634.876384751726</v>
      </c>
      <c r="K29" s="259">
        <f t="shared" si="8"/>
        <v>25323.961567253682</v>
      </c>
      <c r="L29" s="259">
        <f t="shared" si="8"/>
        <v>24988.091307190683</v>
      </c>
      <c r="M29" s="259">
        <f t="shared" si="8"/>
        <v>24583.617079357457</v>
      </c>
      <c r="N29" s="259">
        <f t="shared" si="8"/>
        <v>24185.855615110933</v>
      </c>
      <c r="O29" s="448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</row>
    <row r="30" spans="1:29" s="88" customFormat="1">
      <c r="A30" s="100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</row>
    <row r="31" spans="1:29" s="88" customFormat="1">
      <c r="A31" s="100"/>
      <c r="B31" s="88" t="s">
        <v>178</v>
      </c>
      <c r="C31" s="37">
        <f>'ERP2 summary'!D42</f>
        <v>-6043.7544926891196</v>
      </c>
      <c r="D31" s="37">
        <f>'ERP2 summary'!E42</f>
        <v>-7363.6198128749229</v>
      </c>
      <c r="E31" s="37">
        <f>'ERP2 summary'!F42</f>
        <v>-9003.541406848517</v>
      </c>
      <c r="F31" s="37">
        <f>'ERP2 summary'!G42</f>
        <v>-10980.055739117133</v>
      </c>
      <c r="G31" s="37">
        <f>'ERP2 summary'!H42</f>
        <v>-12993.171675040639</v>
      </c>
      <c r="H31" s="37">
        <f>'ERP2 summary'!I42</f>
        <v>-14665.125065594242</v>
      </c>
      <c r="I31" s="37">
        <f>'ERP2 summary'!J42</f>
        <v>-15621.322482280488</v>
      </c>
      <c r="J31" s="37">
        <f>'ERP2 summary'!K42</f>
        <v>-16115.164533317075</v>
      </c>
      <c r="K31" s="37">
        <f>'ERP2 summary'!L42</f>
        <v>-16548.783930128699</v>
      </c>
      <c r="L31" s="37">
        <f>'ERP2 summary'!M42</f>
        <v>-17023.841238726887</v>
      </c>
      <c r="M31" s="37">
        <f>'ERP2 summary'!N42</f>
        <v>-17653.165310239205</v>
      </c>
      <c r="N31" s="37">
        <f>'ERP2 summary'!O42</f>
        <v>-18223.423359031549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s="88" customFormat="1">
      <c r="A32" s="100"/>
      <c r="B32" s="88" t="s">
        <v>179</v>
      </c>
      <c r="C32" s="37">
        <f>'ERP2 summary'!D43</f>
        <v>-11.361473920518989</v>
      </c>
      <c r="D32" s="37">
        <f>'ERP2 summary'!E43</f>
        <v>-11.666814142518973</v>
      </c>
      <c r="E32" s="37">
        <f>'ERP2 summary'!F43</f>
        <v>-11.972154364518985</v>
      </c>
      <c r="F32" s="37">
        <f>'ERP2 summary'!G43</f>
        <v>-12.277494586518969</v>
      </c>
      <c r="G32" s="37">
        <f>'ERP2 summary'!H43</f>
        <v>-4.3226202539522092</v>
      </c>
      <c r="H32" s="37">
        <f>'ERP2 summary'!I43</f>
        <v>7.4627602409491658</v>
      </c>
      <c r="I32" s="37">
        <f>'ERP2 summary'!J43</f>
        <v>21.181552216638806</v>
      </c>
      <c r="J32" s="37">
        <f>'ERP2 summary'!K43</f>
        <v>32.470039427811059</v>
      </c>
      <c r="K32" s="37">
        <f>'ERP2 summary'!L43</f>
        <v>48.713166951696877</v>
      </c>
      <c r="L32" s="37">
        <f>'ERP2 summary'!M43</f>
        <v>69.412561887341752</v>
      </c>
      <c r="M32" s="37">
        <f>'ERP2 summary'!N43</f>
        <v>84.207777145009175</v>
      </c>
      <c r="N32" s="37">
        <f>'ERP2 summary'!O43</f>
        <v>93.864009391125052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s="88" customFormat="1">
      <c r="A33" s="100"/>
      <c r="B33" s="88" t="s">
        <v>355</v>
      </c>
      <c r="C33" s="132">
        <f>C31+C32</f>
        <v>-6055.1159666096382</v>
      </c>
      <c r="D33" s="132">
        <f>D31+D32</f>
        <v>-7375.2866270174418</v>
      </c>
      <c r="E33" s="132">
        <f t="shared" ref="E33:N33" si="9">E31+E32</f>
        <v>-9015.5135612130362</v>
      </c>
      <c r="F33" s="132">
        <f t="shared" si="9"/>
        <v>-10992.333233703652</v>
      </c>
      <c r="G33" s="132">
        <f t="shared" si="9"/>
        <v>-12997.494295294591</v>
      </c>
      <c r="H33" s="132">
        <f t="shared" si="9"/>
        <v>-14657.662305353293</v>
      </c>
      <c r="I33" s="132">
        <f t="shared" si="9"/>
        <v>-15600.14093006385</v>
      </c>
      <c r="J33" s="132">
        <f t="shared" si="9"/>
        <v>-16082.694493889263</v>
      </c>
      <c r="K33" s="132">
        <f t="shared" si="9"/>
        <v>-16500.070763177002</v>
      </c>
      <c r="L33" s="132">
        <f t="shared" si="9"/>
        <v>-16954.428676839547</v>
      </c>
      <c r="M33" s="132">
        <f t="shared" si="9"/>
        <v>-17568.957533094195</v>
      </c>
      <c r="N33" s="132">
        <f t="shared" si="9"/>
        <v>-18129.559349640425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</row>
    <row r="34" spans="1:29" s="88" customFormat="1">
      <c r="A34" s="100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</row>
    <row r="35" spans="1:29" s="100" customFormat="1">
      <c r="A35" s="258" t="s">
        <v>356</v>
      </c>
      <c r="B35" s="397" t="s">
        <v>121</v>
      </c>
      <c r="C35" s="258">
        <f t="shared" ref="C35:N35" si="10">C6-C19</f>
        <v>28182.156027672107</v>
      </c>
      <c r="D35" s="258">
        <f t="shared" si="10"/>
        <v>26183.010725387008</v>
      </c>
      <c r="E35" s="258">
        <f t="shared" si="10"/>
        <v>23222.629702940278</v>
      </c>
      <c r="F35" s="258">
        <f t="shared" si="10"/>
        <v>20824.005765599541</v>
      </c>
      <c r="G35" s="258">
        <f t="shared" si="10"/>
        <v>17595.142962500082</v>
      </c>
      <c r="H35" s="258">
        <f t="shared" si="10"/>
        <v>15112.552536963478</v>
      </c>
      <c r="I35" s="258">
        <f t="shared" si="10"/>
        <v>12622.786403881386</v>
      </c>
      <c r="J35" s="406">
        <f t="shared" si="10"/>
        <v>9552.1818908624628</v>
      </c>
      <c r="K35" s="406">
        <f t="shared" si="10"/>
        <v>8823.8908040766837</v>
      </c>
      <c r="L35" s="406">
        <f t="shared" si="10"/>
        <v>8033.6626303511366</v>
      </c>
      <c r="M35" s="406">
        <f t="shared" si="10"/>
        <v>7014.6595462632613</v>
      </c>
      <c r="N35" s="406">
        <f t="shared" si="10"/>
        <v>6056.2962654705043</v>
      </c>
      <c r="O35" s="585"/>
    </row>
    <row r="36" spans="1:29" s="100" customFormat="1">
      <c r="A36" s="37" t="s">
        <v>357</v>
      </c>
      <c r="B36" s="37" t="s">
        <v>358</v>
      </c>
      <c r="C36" s="37">
        <f t="shared" ref="C36:N36" si="11">C28+C33</f>
        <v>28182.156027672117</v>
      </c>
      <c r="D36" s="37">
        <f>D28+D33</f>
        <v>26183.010725386994</v>
      </c>
      <c r="E36" s="37">
        <f t="shared" si="11"/>
        <v>23222.629702940281</v>
      </c>
      <c r="F36" s="37">
        <f t="shared" si="11"/>
        <v>20824.005765599555</v>
      </c>
      <c r="G36" s="37">
        <f t="shared" si="11"/>
        <v>17595.14296250006</v>
      </c>
      <c r="H36" s="37">
        <f t="shared" si="11"/>
        <v>15112.552536963463</v>
      </c>
      <c r="I36" s="37">
        <f t="shared" si="11"/>
        <v>12622.786403881373</v>
      </c>
      <c r="J36" s="527">
        <f>J28+J33</f>
        <v>11779.515934143463</v>
      </c>
      <c r="K36" s="527">
        <f t="shared" si="11"/>
        <v>10985.929118009557</v>
      </c>
      <c r="L36" s="527">
        <f t="shared" si="11"/>
        <v>10114.542669525967</v>
      </c>
      <c r="M36" s="527">
        <f t="shared" si="11"/>
        <v>9005.8209093295154</v>
      </c>
      <c r="N36" s="527">
        <f t="shared" si="11"/>
        <v>7960.0586281275573</v>
      </c>
      <c r="O36" s="52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s="100" customFormat="1"/>
    <row r="38" spans="1:29" s="88" customFormat="1">
      <c r="A38" s="100"/>
      <c r="B38" s="88" t="s">
        <v>359</v>
      </c>
      <c r="C38" s="30">
        <f t="shared" ref="C38:N38" si="12">C28/C4</f>
        <v>0.44184443617512065</v>
      </c>
      <c r="D38" s="30">
        <f t="shared" si="12"/>
        <v>0.4393064027868695</v>
      </c>
      <c r="E38" s="30">
        <f t="shared" si="12"/>
        <v>0.43144941994235098</v>
      </c>
      <c r="F38" s="30">
        <f t="shared" si="12"/>
        <v>0.42950056072353759</v>
      </c>
      <c r="G38" s="30">
        <f t="shared" si="12"/>
        <v>0.42030882856956742</v>
      </c>
      <c r="H38" s="30">
        <f t="shared" si="12"/>
        <v>0.41469080568161421</v>
      </c>
      <c r="I38" s="30">
        <f t="shared" si="12"/>
        <v>0.40311321913036291</v>
      </c>
      <c r="J38" s="30">
        <f t="shared" si="12"/>
        <v>0.40393409771374617</v>
      </c>
      <c r="K38" s="30">
        <f t="shared" si="12"/>
        <v>0.40439074503656713</v>
      </c>
      <c r="L38" s="30">
        <f t="shared" si="12"/>
        <v>0.40569850885966058</v>
      </c>
      <c r="M38" s="30">
        <f t="shared" si="12"/>
        <v>0.40580588086855202</v>
      </c>
      <c r="N38" s="30">
        <f t="shared" si="12"/>
        <v>0.4058429880700602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s="88" customFormat="1">
      <c r="A39" s="100"/>
      <c r="B39" s="88" t="s">
        <v>360</v>
      </c>
      <c r="C39" s="30">
        <f t="shared" ref="C39:N39" si="13">C36/C6</f>
        <v>0.39610739339441176</v>
      </c>
      <c r="D39" s="30">
        <f t="shared" si="13"/>
        <v>0.37936578470523519</v>
      </c>
      <c r="E39" s="30">
        <f t="shared" si="13"/>
        <v>0.35222062373328739</v>
      </c>
      <c r="F39" s="30">
        <f t="shared" si="13"/>
        <v>0.32704242531805444</v>
      </c>
      <c r="G39" s="30">
        <f t="shared" si="13"/>
        <v>0.29111799945899286</v>
      </c>
      <c r="H39" s="30">
        <f t="shared" si="13"/>
        <v>0.26118036473841022</v>
      </c>
      <c r="I39" s="30">
        <f t="shared" si="13"/>
        <v>0.22875793212651532</v>
      </c>
      <c r="J39" s="30">
        <f t="shared" si="13"/>
        <v>0.22955378202954715</v>
      </c>
      <c r="K39" s="30">
        <f t="shared" si="13"/>
        <v>0.22055442228064651</v>
      </c>
      <c r="L39" s="30">
        <f t="shared" si="13"/>
        <v>0.21098013702452614</v>
      </c>
      <c r="M39" s="30">
        <f t="shared" si="13"/>
        <v>0.19631758963391352</v>
      </c>
      <c r="N39" s="30">
        <f t="shared" si="13"/>
        <v>0.18148715526867226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s="88" customFormat="1">
      <c r="A40" s="100"/>
      <c r="B40" s="88" t="s">
        <v>361</v>
      </c>
      <c r="C40" s="37"/>
      <c r="D40" s="37"/>
      <c r="E40" s="37"/>
      <c r="F40" s="37"/>
      <c r="G40" s="37"/>
      <c r="H40" s="37"/>
      <c r="I40" s="37"/>
    </row>
    <row r="41" spans="1:29" s="101" customFormat="1">
      <c r="A41" s="570" t="s">
        <v>362</v>
      </c>
      <c r="C41" s="102"/>
      <c r="D41" s="102"/>
      <c r="E41" s="102"/>
      <c r="F41" s="102"/>
      <c r="G41" s="102"/>
      <c r="H41" s="102"/>
      <c r="I41" s="102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s="88" customFormat="1">
      <c r="A42" s="100"/>
      <c r="B42" s="88" t="s">
        <v>363</v>
      </c>
      <c r="C42" s="37">
        <f t="shared" ref="C42:N42" si="14">C19+C36</f>
        <v>71147.765726277692</v>
      </c>
      <c r="D42" s="37">
        <f t="shared" si="14"/>
        <v>69017.849740273814</v>
      </c>
      <c r="E42" s="37">
        <f t="shared" si="14"/>
        <v>65932.055473631757</v>
      </c>
      <c r="F42" s="37">
        <f t="shared" si="14"/>
        <v>63673.713724902365</v>
      </c>
      <c r="G42" s="37">
        <f t="shared" si="14"/>
        <v>60439.900642345958</v>
      </c>
      <c r="H42" s="37">
        <f t="shared" si="14"/>
        <v>57862.51409863717</v>
      </c>
      <c r="I42" s="37">
        <f t="shared" si="14"/>
        <v>55179.666499609273</v>
      </c>
      <c r="J42" s="37">
        <f t="shared" si="14"/>
        <v>53542.175515277551</v>
      </c>
      <c r="K42" s="37">
        <f t="shared" si="14"/>
        <v>51972.552219795121</v>
      </c>
      <c r="L42" s="37">
        <f t="shared" si="14"/>
        <v>50021.614234215027</v>
      </c>
      <c r="M42" s="37">
        <f t="shared" si="14"/>
        <v>47864.895479928986</v>
      </c>
      <c r="N42" s="37">
        <f t="shared" si="14"/>
        <v>45763.93867289534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s="88" customFormat="1">
      <c r="A43" s="100"/>
      <c r="B43" s="88" t="s">
        <v>364</v>
      </c>
      <c r="C43" s="423">
        <f t="shared" ref="C43:N43" si="15">C42-C6</f>
        <v>0</v>
      </c>
      <c r="D43" s="423">
        <f t="shared" si="15"/>
        <v>0</v>
      </c>
      <c r="E43" s="423">
        <f t="shared" si="15"/>
        <v>0</v>
      </c>
      <c r="F43" s="423">
        <f t="shared" si="15"/>
        <v>0</v>
      </c>
      <c r="G43" s="423">
        <f t="shared" si="15"/>
        <v>0</v>
      </c>
      <c r="H43" s="423">
        <f t="shared" si="15"/>
        <v>0</v>
      </c>
      <c r="I43" s="423">
        <f t="shared" si="15"/>
        <v>0</v>
      </c>
      <c r="J43" s="424">
        <f t="shared" si="15"/>
        <v>2227.334043281</v>
      </c>
      <c r="K43" s="424">
        <f t="shared" si="15"/>
        <v>2162.0383139328769</v>
      </c>
      <c r="L43" s="424">
        <f t="shared" si="15"/>
        <v>2080.88003917483</v>
      </c>
      <c r="M43" s="424">
        <f t="shared" si="15"/>
        <v>1991.1613630662541</v>
      </c>
      <c r="N43" s="424">
        <f t="shared" si="15"/>
        <v>1903.7623626570494</v>
      </c>
      <c r="O43" s="586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 s="88" customFormat="1">
      <c r="A44" s="100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29" s="142" customFormat="1">
      <c r="A45" s="159" t="s">
        <v>365</v>
      </c>
      <c r="C45" s="434">
        <v>2024</v>
      </c>
      <c r="D45" s="434">
        <v>2025</v>
      </c>
      <c r="E45" s="434">
        <v>2026</v>
      </c>
      <c r="F45" s="434">
        <v>2027</v>
      </c>
      <c r="G45" s="434">
        <v>2028</v>
      </c>
      <c r="H45" s="434">
        <v>2029</v>
      </c>
      <c r="I45" s="434">
        <v>2030</v>
      </c>
      <c r="J45" s="434">
        <v>2031</v>
      </c>
      <c r="K45" s="434">
        <v>2032</v>
      </c>
      <c r="L45" s="434">
        <v>2033</v>
      </c>
      <c r="M45" s="434">
        <v>2034</v>
      </c>
      <c r="N45" s="434">
        <v>2035</v>
      </c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</row>
    <row r="46" spans="1:29" s="88" customFormat="1">
      <c r="A46" s="100"/>
      <c r="B46" s="88" t="s">
        <v>366</v>
      </c>
      <c r="C46" s="122">
        <f t="shared" ref="C46:N46" si="16">C19/1000</f>
        <v>42.965609698605569</v>
      </c>
      <c r="D46" s="122">
        <f t="shared" si="16"/>
        <v>42.834839014886818</v>
      </c>
      <c r="E46" s="122">
        <f t="shared" si="16"/>
        <v>42.709425770691482</v>
      </c>
      <c r="F46" s="122">
        <f t="shared" si="16"/>
        <v>42.849707959302812</v>
      </c>
      <c r="G46" s="122">
        <f t="shared" si="16"/>
        <v>42.844757679845898</v>
      </c>
      <c r="H46" s="122">
        <f t="shared" si="16"/>
        <v>42.749961561673707</v>
      </c>
      <c r="I46" s="122">
        <f t="shared" si="16"/>
        <v>42.556880095727905</v>
      </c>
      <c r="J46" s="122">
        <f t="shared" si="16"/>
        <v>41.762659581134088</v>
      </c>
      <c r="K46" s="122">
        <f t="shared" si="16"/>
        <v>40.986623101785561</v>
      </c>
      <c r="L46" s="122">
        <f t="shared" si="16"/>
        <v>39.907071564689062</v>
      </c>
      <c r="M46" s="122">
        <f t="shared" si="16"/>
        <v>38.859074570599468</v>
      </c>
      <c r="N46" s="122">
        <f t="shared" si="16"/>
        <v>37.803880044767787</v>
      </c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</row>
    <row r="47" spans="1:29" s="88" customFormat="1">
      <c r="A47" s="100"/>
      <c r="B47" s="88" t="s">
        <v>367</v>
      </c>
      <c r="C47" s="122">
        <f t="shared" ref="C47:N47" si="17">C35/1000</f>
        <v>28.182156027672107</v>
      </c>
      <c r="D47" s="122">
        <f t="shared" si="17"/>
        <v>26.183010725387007</v>
      </c>
      <c r="E47" s="122">
        <f t="shared" si="17"/>
        <v>23.222629702940278</v>
      </c>
      <c r="F47" s="122">
        <f t="shared" si="17"/>
        <v>20.824005765599541</v>
      </c>
      <c r="G47" s="122">
        <f t="shared" si="17"/>
        <v>17.595142962500081</v>
      </c>
      <c r="H47" s="122">
        <f t="shared" si="17"/>
        <v>15.112552536963477</v>
      </c>
      <c r="I47" s="122">
        <f t="shared" si="17"/>
        <v>12.622786403881387</v>
      </c>
      <c r="J47" s="122">
        <f t="shared" si="17"/>
        <v>9.5521818908624621</v>
      </c>
      <c r="K47" s="122">
        <f t="shared" si="17"/>
        <v>8.823890804076683</v>
      </c>
      <c r="L47" s="122">
        <f t="shared" si="17"/>
        <v>8.0336626303511363</v>
      </c>
      <c r="M47" s="122">
        <f t="shared" si="17"/>
        <v>7.0146595462632613</v>
      </c>
      <c r="N47" s="122">
        <f t="shared" si="17"/>
        <v>6.0562962654705039</v>
      </c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</row>
    <row r="48" spans="1:29" s="88" customFormat="1">
      <c r="A48" s="100"/>
      <c r="B48" s="88" t="s">
        <v>368</v>
      </c>
      <c r="C48" s="122">
        <f>C46+C47</f>
        <v>71.147765726277669</v>
      </c>
      <c r="D48" s="122">
        <f t="shared" ref="D48:N48" si="18">D46+D47</f>
        <v>69.017849740273817</v>
      </c>
      <c r="E48" s="122">
        <f t="shared" si="18"/>
        <v>65.932055473631763</v>
      </c>
      <c r="F48" s="122">
        <f t="shared" si="18"/>
        <v>63.673713724902356</v>
      </c>
      <c r="G48" s="122">
        <f t="shared" si="18"/>
        <v>60.439900642345975</v>
      </c>
      <c r="H48" s="122">
        <f t="shared" si="18"/>
        <v>57.862514098637185</v>
      </c>
      <c r="I48" s="122">
        <f t="shared" si="18"/>
        <v>55.17966649960929</v>
      </c>
      <c r="J48" s="122">
        <f t="shared" si="18"/>
        <v>51.314841471996552</v>
      </c>
      <c r="K48" s="122">
        <f>K46+K47</f>
        <v>49.810513905862244</v>
      </c>
      <c r="L48" s="122">
        <f t="shared" si="18"/>
        <v>47.9407341950402</v>
      </c>
      <c r="M48" s="122">
        <f t="shared" si="18"/>
        <v>45.873734116862728</v>
      </c>
      <c r="N48" s="122">
        <f t="shared" si="18"/>
        <v>43.860176310238288</v>
      </c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</row>
    <row r="49" spans="1:29" s="88" customFormat="1">
      <c r="A49" s="100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</row>
    <row r="50" spans="1:29" s="88" customFormat="1">
      <c r="A50" s="100"/>
      <c r="C50" s="37"/>
      <c r="D50" s="37"/>
      <c r="E50" s="37"/>
      <c r="F50" s="37"/>
      <c r="G50" s="37"/>
      <c r="H50" s="37"/>
      <c r="I50" s="37"/>
    </row>
    <row r="51" spans="1:29" s="88" customFormat="1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1:29" s="88" customFormat="1"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s="38" customFormat="1" ht="15" customHeight="1">
      <c r="B53" s="88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</row>
    <row r="54" spans="1:29" s="38" customFormat="1" ht="15" customHeight="1">
      <c r="B54" s="88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</row>
    <row r="55" spans="1:29" s="38" customFormat="1" ht="15" customHeight="1">
      <c r="A55" s="100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29" s="88" customFormat="1"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</row>
    <row r="57" spans="1:29" s="88" customFormat="1"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</row>
    <row r="58" spans="1:29" s="88" customFormat="1">
      <c r="A58" s="100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</row>
    <row r="59" spans="1:29" s="88" customFormat="1">
      <c r="A59" s="100"/>
      <c r="D59" s="34"/>
      <c r="E59" s="34"/>
      <c r="F59" s="34"/>
      <c r="G59" s="34"/>
      <c r="H59" s="34"/>
    </row>
    <row r="60" spans="1:29" s="88" customFormat="1">
      <c r="A60" s="100"/>
      <c r="E60" s="202"/>
      <c r="F60" s="202"/>
      <c r="G60" s="202"/>
      <c r="H60" s="202"/>
      <c r="I60" s="202"/>
    </row>
    <row r="61" spans="1:29" s="88" customFormat="1">
      <c r="A61" s="100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</row>
    <row r="62" spans="1:29" s="88" customFormat="1">
      <c r="A62" s="100"/>
      <c r="C62" s="204"/>
      <c r="D62" s="202"/>
      <c r="E62" s="202"/>
      <c r="F62" s="202"/>
      <c r="G62" s="202"/>
      <c r="H62" s="202"/>
      <c r="I62" s="202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29" s="88" customFormat="1">
      <c r="A63" s="100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</row>
    <row r="64" spans="1:29" s="88" customFormat="1">
      <c r="A64" s="100"/>
    </row>
    <row r="65" spans="1:19" s="88" customFormat="1" ht="21">
      <c r="A65" s="100"/>
      <c r="B65" s="38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1:19" s="88" customFormat="1"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</row>
    <row r="67" spans="1:19" s="88" customFormat="1"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</row>
    <row r="68" spans="1:19" s="88" customFormat="1">
      <c r="A68" s="100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</row>
    <row r="69" spans="1:19" s="88" customFormat="1">
      <c r="A69" s="100"/>
    </row>
    <row r="70" spans="1:19" s="88" customFormat="1">
      <c r="A70" s="100"/>
    </row>
    <row r="71" spans="1:19" s="88" customFormat="1">
      <c r="A71" s="100"/>
    </row>
    <row r="72" spans="1:19" s="88" customFormat="1">
      <c r="A72" s="100"/>
    </row>
    <row r="73" spans="1:19" s="88" customFormat="1">
      <c r="A73" s="100"/>
    </row>
    <row r="74" spans="1:19" s="88" customFormat="1">
      <c r="A74" s="100"/>
    </row>
    <row r="75" spans="1:19" s="88" customFormat="1">
      <c r="A75" s="100"/>
    </row>
    <row r="76" spans="1:19" s="88" customFormat="1">
      <c r="A76" s="100"/>
    </row>
    <row r="77" spans="1:19" s="88" customFormat="1">
      <c r="A77" s="100"/>
    </row>
    <row r="78" spans="1:19" s="88" customFormat="1">
      <c r="A78" s="100"/>
    </row>
    <row r="79" spans="1:19" s="88" customFormat="1">
      <c r="A79" s="106"/>
    </row>
    <row r="80" spans="1:19" s="88" customFormat="1">
      <c r="A80" s="100"/>
    </row>
    <row r="81" spans="1:1" s="88" customFormat="1">
      <c r="A81" s="100"/>
    </row>
    <row r="82" spans="1:1" s="88" customFormat="1">
      <c r="A82" s="100"/>
    </row>
    <row r="83" spans="1:1" s="88" customFormat="1">
      <c r="A83" s="100"/>
    </row>
    <row r="84" spans="1:1" s="88" customFormat="1">
      <c r="A84" s="100"/>
    </row>
    <row r="85" spans="1:1" s="88" customFormat="1">
      <c r="A85" s="100"/>
    </row>
    <row r="86" spans="1:1" s="88" customFormat="1"/>
    <row r="87" spans="1:1" s="88" customFormat="1">
      <c r="A87" s="100"/>
    </row>
    <row r="88" spans="1:1" s="88" customFormat="1"/>
    <row r="89" spans="1:1" s="88" customFormat="1"/>
    <row r="90" spans="1:1" s="88" customFormat="1"/>
    <row r="91" spans="1:1" s="88" customFormat="1"/>
    <row r="92" spans="1:1" s="88" customFormat="1"/>
    <row r="93" spans="1:1" s="88" customFormat="1"/>
    <row r="94" spans="1:1" s="88" customFormat="1"/>
    <row r="95" spans="1:1" s="88" customFormat="1"/>
    <row r="96" spans="1:1" s="88" customFormat="1"/>
    <row r="97" s="88" customFormat="1"/>
    <row r="98" s="88" customFormat="1"/>
    <row r="99" s="88" customFormat="1"/>
    <row r="100" s="88" customFormat="1"/>
    <row r="101" s="88" customFormat="1"/>
    <row r="102" s="88" customFormat="1"/>
    <row r="103" s="88" customFormat="1"/>
    <row r="104" s="88" customFormat="1"/>
    <row r="105" s="88" customFormat="1"/>
  </sheetData>
  <conditionalFormatting sqref="C43:N43">
    <cfRule type="cellIs" dxfId="16" priority="9" operator="equal">
      <formula>0</formula>
    </cfRule>
    <cfRule type="cellIs" dxfId="15" priority="10" operator="lessThan">
      <formula>0</formula>
    </cfRule>
    <cfRule type="cellIs" dxfId="14" priority="11" operator="greaterThan">
      <formula>0</formula>
    </cfRule>
  </conditionalFormatting>
  <conditionalFormatting sqref="I1">
    <cfRule type="cellIs" dxfId="13" priority="7" operator="greaterThan">
      <formula>305000</formula>
    </cfRule>
    <cfRule type="cellIs" dxfId="12" priority="8" operator="lessThan">
      <formula>305000</formula>
    </cfRule>
  </conditionalFormatting>
  <conditionalFormatting sqref="N1">
    <cfRule type="cellIs" dxfId="11" priority="4" operator="equal">
      <formula>240000</formula>
    </cfRule>
    <cfRule type="cellIs" dxfId="10" priority="5" operator="greaterThan">
      <formula>240000</formula>
    </cfRule>
    <cfRule type="cellIs" dxfId="9" priority="6" operator="lessThan">
      <formula>240000</formula>
    </cfRule>
  </conditionalFormatting>
  <pageMargins left="0.7" right="0.7" top="0.75" bottom="0.75" header="0.3" footer="0.3"/>
  <pageSetup orientation="portrait" r:id="rId1"/>
  <headerFooter>
    <oddHeader>&amp;C&amp;"Calibri"&amp;10&amp;K000000 [SENSITIVE]&amp;1#_x000D_</oddHeader>
    <oddFooter>&amp;C_x000D_&amp;1#&amp;"Calibri"&amp;10&amp;K000000 [SENSITIVE]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B545-3CC8-49F6-8E05-437486307733}">
  <sheetPr>
    <tabColor theme="7" tint="0.79998168889431442"/>
  </sheetPr>
  <dimension ref="A1:AD98"/>
  <sheetViews>
    <sheetView zoomScale="55" zoomScaleNormal="55" workbookViewId="0">
      <pane ySplit="1" topLeftCell="A21" activePane="bottomLeft" state="frozen"/>
      <selection pane="bottomLeft" activeCell="C1" sqref="C1"/>
    </sheetView>
  </sheetViews>
  <sheetFormatPr defaultColWidth="8.7109375" defaultRowHeight="15"/>
  <cols>
    <col min="1" max="1" width="17.7109375" customWidth="1"/>
    <col min="2" max="2" width="26.5703125" customWidth="1"/>
    <col min="3" max="20" width="19" customWidth="1"/>
    <col min="21" max="30" width="13.5703125" customWidth="1"/>
  </cols>
  <sheetData>
    <row r="1" spans="1:30" s="69" customFormat="1">
      <c r="A1" s="69" t="s">
        <v>155</v>
      </c>
      <c r="C1" s="69">
        <v>2023</v>
      </c>
      <c r="D1" s="69">
        <v>2024</v>
      </c>
      <c r="E1" s="69">
        <v>2025</v>
      </c>
      <c r="F1" s="69">
        <v>2026</v>
      </c>
      <c r="G1" s="69">
        <v>2027</v>
      </c>
      <c r="H1" s="69">
        <v>2028</v>
      </c>
      <c r="I1" s="69">
        <v>2029</v>
      </c>
      <c r="J1" s="69">
        <v>2030</v>
      </c>
      <c r="K1" s="69">
        <v>2031</v>
      </c>
      <c r="L1" s="69">
        <v>2032</v>
      </c>
      <c r="M1" s="69">
        <v>2033</v>
      </c>
      <c r="N1" s="69">
        <v>2034</v>
      </c>
      <c r="O1" s="69">
        <v>2035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1" customFormat="1">
      <c r="A2" s="22" t="s">
        <v>369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2" customFormat="1" ht="33" customHeight="1">
      <c r="A3" s="557"/>
      <c r="B3" s="542" t="s">
        <v>370</v>
      </c>
      <c r="C3" s="231">
        <v>593.13300000000004</v>
      </c>
      <c r="D3" s="561">
        <v>878.00900000000001</v>
      </c>
      <c r="E3" s="561">
        <v>1367.403</v>
      </c>
      <c r="F3" s="558">
        <f t="shared" ref="F3:O3" si="0">E3</f>
        <v>1367.403</v>
      </c>
      <c r="G3" s="558">
        <f t="shared" si="0"/>
        <v>1367.403</v>
      </c>
      <c r="H3" s="558">
        <f t="shared" si="0"/>
        <v>1367.403</v>
      </c>
      <c r="I3" s="558">
        <f t="shared" si="0"/>
        <v>1367.403</v>
      </c>
      <c r="J3" s="558">
        <f t="shared" si="0"/>
        <v>1367.403</v>
      </c>
      <c r="K3" s="558">
        <f t="shared" si="0"/>
        <v>1367.403</v>
      </c>
      <c r="L3" s="558">
        <f t="shared" si="0"/>
        <v>1367.403</v>
      </c>
      <c r="M3" s="558">
        <f t="shared" si="0"/>
        <v>1367.403</v>
      </c>
      <c r="N3" s="558">
        <f t="shared" si="0"/>
        <v>1367.403</v>
      </c>
      <c r="O3" s="558">
        <f t="shared" si="0"/>
        <v>1367.403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>
      <c r="A4" s="28">
        <v>0</v>
      </c>
      <c r="B4" t="s">
        <v>371</v>
      </c>
      <c r="C4" s="231">
        <v>654.37487714399992</v>
      </c>
      <c r="D4" s="233">
        <f t="shared" ref="D4:O4" si="1">(C4*(1+$A4))</f>
        <v>654.37487714399992</v>
      </c>
      <c r="E4" s="233">
        <f t="shared" si="1"/>
        <v>654.37487714399992</v>
      </c>
      <c r="F4" s="233">
        <f t="shared" si="1"/>
        <v>654.37487714399992</v>
      </c>
      <c r="G4" s="233">
        <f t="shared" si="1"/>
        <v>654.37487714399992</v>
      </c>
      <c r="H4" s="233">
        <f t="shared" si="1"/>
        <v>654.37487714399992</v>
      </c>
      <c r="I4" s="233">
        <f t="shared" si="1"/>
        <v>654.37487714399992</v>
      </c>
      <c r="J4" s="233">
        <f t="shared" si="1"/>
        <v>654.37487714399992</v>
      </c>
      <c r="K4" s="233">
        <f t="shared" si="1"/>
        <v>654.37487714399992</v>
      </c>
      <c r="L4" s="233">
        <f t="shared" si="1"/>
        <v>654.37487714399992</v>
      </c>
      <c r="M4" s="233">
        <f t="shared" si="1"/>
        <v>654.37487714399992</v>
      </c>
      <c r="N4" s="233">
        <f t="shared" si="1"/>
        <v>654.37487714399992</v>
      </c>
      <c r="O4" s="233">
        <f t="shared" si="1"/>
        <v>654.37487714399992</v>
      </c>
    </row>
    <row r="5" spans="1:30">
      <c r="A5" s="28">
        <v>0</v>
      </c>
      <c r="B5" t="s">
        <v>372</v>
      </c>
      <c r="C5" s="231">
        <v>1825.7309088150002</v>
      </c>
      <c r="D5" s="233">
        <f t="shared" ref="D5:D13" si="2">(C5*(1+$A5))</f>
        <v>1825.7309088150002</v>
      </c>
      <c r="E5" s="233">
        <f t="shared" ref="E5:E13" si="3">(D5*(1+$A5))</f>
        <v>1825.7309088150002</v>
      </c>
      <c r="F5" s="233">
        <f t="shared" ref="F5:F13" si="4">(E5*(1+$A5))</f>
        <v>1825.7309088150002</v>
      </c>
      <c r="G5" s="233">
        <f t="shared" ref="G5:G13" si="5">(F5*(1+$A5))</f>
        <v>1825.7309088150002</v>
      </c>
      <c r="H5" s="233">
        <f t="shared" ref="H5:H13" si="6">(G5*(1+$A5))</f>
        <v>1825.7309088150002</v>
      </c>
      <c r="I5" s="233">
        <f t="shared" ref="I5:I13" si="7">(H5*(1+$A5))</f>
        <v>1825.7309088150002</v>
      </c>
      <c r="J5" s="233">
        <f t="shared" ref="J5:J13" si="8">(I5*(1+$A5))</f>
        <v>1825.7309088150002</v>
      </c>
      <c r="K5" s="233">
        <f t="shared" ref="K5:K13" si="9">(J5*(1+$A5))</f>
        <v>1825.7309088150002</v>
      </c>
      <c r="L5" s="233">
        <f t="shared" ref="L5:L13" si="10">(K5*(1+$A5))</f>
        <v>1825.7309088150002</v>
      </c>
      <c r="M5" s="233">
        <f t="shared" ref="M5:M13" si="11">(L5*(1+$A5))</f>
        <v>1825.7309088150002</v>
      </c>
      <c r="N5" s="233">
        <f t="shared" ref="N5:N13" si="12">(M5*(1+$A5))</f>
        <v>1825.7309088150002</v>
      </c>
      <c r="O5" s="233">
        <f t="shared" ref="O5:O13" si="13">(N5*(1+$A5))</f>
        <v>1825.7309088150002</v>
      </c>
    </row>
    <row r="6" spans="1:30" ht="13.5" customHeight="1">
      <c r="A6" s="28">
        <v>0</v>
      </c>
      <c r="B6" t="s">
        <v>373</v>
      </c>
      <c r="C6" s="231">
        <v>988.76606413800005</v>
      </c>
      <c r="D6" s="233">
        <f t="shared" si="2"/>
        <v>988.76606413800005</v>
      </c>
      <c r="E6" s="233">
        <f t="shared" si="3"/>
        <v>988.76606413800005</v>
      </c>
      <c r="F6" s="233">
        <f t="shared" si="4"/>
        <v>988.76606413800005</v>
      </c>
      <c r="G6" s="233">
        <f t="shared" si="5"/>
        <v>988.76606413800005</v>
      </c>
      <c r="H6" s="233">
        <f t="shared" si="6"/>
        <v>988.76606413800005</v>
      </c>
      <c r="I6" s="233">
        <f t="shared" si="7"/>
        <v>988.76606413800005</v>
      </c>
      <c r="J6" s="233">
        <f t="shared" si="8"/>
        <v>988.76606413800005</v>
      </c>
      <c r="K6" s="233">
        <f t="shared" si="9"/>
        <v>988.76606413800005</v>
      </c>
      <c r="L6" s="233">
        <f t="shared" si="10"/>
        <v>988.76606413800005</v>
      </c>
      <c r="M6" s="233">
        <f t="shared" si="11"/>
        <v>988.76606413800005</v>
      </c>
      <c r="N6" s="233">
        <f t="shared" si="12"/>
        <v>988.76606413800005</v>
      </c>
      <c r="O6" s="233">
        <f t="shared" si="13"/>
        <v>988.76606413800005</v>
      </c>
    </row>
    <row r="7" spans="1:30">
      <c r="A7" s="28">
        <v>0</v>
      </c>
      <c r="B7" t="s">
        <v>374</v>
      </c>
      <c r="C7" s="231">
        <v>19.741015923000003</v>
      </c>
      <c r="D7" s="233">
        <f t="shared" ref="D7:O7" si="14">(C7*(1+$A7))</f>
        <v>19.741015923000003</v>
      </c>
      <c r="E7" s="233">
        <f t="shared" si="14"/>
        <v>19.741015923000003</v>
      </c>
      <c r="F7" s="233">
        <f t="shared" si="14"/>
        <v>19.741015923000003</v>
      </c>
      <c r="G7" s="233">
        <f t="shared" si="14"/>
        <v>19.741015923000003</v>
      </c>
      <c r="H7" s="233">
        <f t="shared" si="14"/>
        <v>19.741015923000003</v>
      </c>
      <c r="I7" s="233">
        <f t="shared" si="14"/>
        <v>19.741015923000003</v>
      </c>
      <c r="J7" s="233">
        <f t="shared" si="14"/>
        <v>19.741015923000003</v>
      </c>
      <c r="K7" s="233">
        <f t="shared" si="14"/>
        <v>19.741015923000003</v>
      </c>
      <c r="L7" s="233">
        <f t="shared" si="14"/>
        <v>19.741015923000003</v>
      </c>
      <c r="M7" s="233">
        <f t="shared" si="14"/>
        <v>19.741015923000003</v>
      </c>
      <c r="N7" s="233">
        <f t="shared" si="14"/>
        <v>19.741015923000003</v>
      </c>
      <c r="O7" s="233">
        <f t="shared" si="14"/>
        <v>19.741015923000003</v>
      </c>
    </row>
    <row r="8" spans="1:30">
      <c r="A8" s="28">
        <v>0</v>
      </c>
      <c r="B8" t="s">
        <v>375</v>
      </c>
      <c r="C8" s="231">
        <v>331.15706761199999</v>
      </c>
      <c r="D8" s="233">
        <f t="shared" si="2"/>
        <v>331.15706761199999</v>
      </c>
      <c r="E8" s="233">
        <f t="shared" si="3"/>
        <v>331.15706761199999</v>
      </c>
      <c r="F8" s="233">
        <f t="shared" si="4"/>
        <v>331.15706761199999</v>
      </c>
      <c r="G8" s="233">
        <f t="shared" si="5"/>
        <v>331.15706761199999</v>
      </c>
      <c r="H8" s="233">
        <f t="shared" si="6"/>
        <v>331.15706761199999</v>
      </c>
      <c r="I8" s="233">
        <f t="shared" si="7"/>
        <v>331.15706761199999</v>
      </c>
      <c r="J8" s="233">
        <f t="shared" si="8"/>
        <v>331.15706761199999</v>
      </c>
      <c r="K8" s="233">
        <f t="shared" si="9"/>
        <v>331.15706761199999</v>
      </c>
      <c r="L8" s="233">
        <f t="shared" si="10"/>
        <v>331.15706761199999</v>
      </c>
      <c r="M8" s="233">
        <f t="shared" si="11"/>
        <v>331.15706761199999</v>
      </c>
      <c r="N8" s="233">
        <f t="shared" si="12"/>
        <v>331.15706761199999</v>
      </c>
      <c r="O8" s="233">
        <f t="shared" si="13"/>
        <v>331.15706761199999</v>
      </c>
    </row>
    <row r="9" spans="1:30">
      <c r="A9" s="28">
        <v>0</v>
      </c>
      <c r="B9" t="s">
        <v>376</v>
      </c>
      <c r="C9" s="231">
        <v>55.633066241999998</v>
      </c>
      <c r="D9" s="233">
        <f t="shared" si="2"/>
        <v>55.633066241999998</v>
      </c>
      <c r="E9" s="233">
        <f t="shared" si="3"/>
        <v>55.633066241999998</v>
      </c>
      <c r="F9" s="233">
        <f t="shared" si="4"/>
        <v>55.633066241999998</v>
      </c>
      <c r="G9" s="233">
        <f t="shared" si="5"/>
        <v>55.633066241999998</v>
      </c>
      <c r="H9" s="233">
        <f t="shared" si="6"/>
        <v>55.633066241999998</v>
      </c>
      <c r="I9" s="233">
        <f t="shared" si="7"/>
        <v>55.633066241999998</v>
      </c>
      <c r="J9" s="233">
        <f t="shared" si="8"/>
        <v>55.633066241999998</v>
      </c>
      <c r="K9" s="233">
        <f t="shared" si="9"/>
        <v>55.633066241999998</v>
      </c>
      <c r="L9" s="233">
        <f t="shared" si="10"/>
        <v>55.633066241999998</v>
      </c>
      <c r="M9" s="233">
        <f t="shared" si="11"/>
        <v>55.633066241999998</v>
      </c>
      <c r="N9" s="233">
        <f t="shared" si="12"/>
        <v>55.633066241999998</v>
      </c>
      <c r="O9" s="233">
        <f t="shared" si="13"/>
        <v>55.633066241999998</v>
      </c>
    </row>
    <row r="10" spans="1:30">
      <c r="A10" s="28">
        <v>0</v>
      </c>
      <c r="B10" t="s">
        <v>377</v>
      </c>
      <c r="C10" s="231">
        <v>50.345712440999996</v>
      </c>
      <c r="D10" s="233">
        <f t="shared" ref="D10:O10" si="15">(C10*(1+$A10))</f>
        <v>50.345712440999996</v>
      </c>
      <c r="E10" s="233">
        <f t="shared" si="15"/>
        <v>50.345712440999996</v>
      </c>
      <c r="F10" s="233">
        <f t="shared" si="15"/>
        <v>50.345712440999996</v>
      </c>
      <c r="G10" s="233">
        <f t="shared" si="15"/>
        <v>50.345712440999996</v>
      </c>
      <c r="H10" s="233">
        <f t="shared" si="15"/>
        <v>50.345712440999996</v>
      </c>
      <c r="I10" s="233">
        <f t="shared" si="15"/>
        <v>50.345712440999996</v>
      </c>
      <c r="J10" s="233">
        <f t="shared" si="15"/>
        <v>50.345712440999996</v>
      </c>
      <c r="K10" s="233">
        <f t="shared" si="15"/>
        <v>50.345712440999996</v>
      </c>
      <c r="L10" s="233">
        <f t="shared" si="15"/>
        <v>50.345712440999996</v>
      </c>
      <c r="M10" s="233"/>
      <c r="N10" s="233">
        <f t="shared" si="15"/>
        <v>0</v>
      </c>
      <c r="O10" s="233">
        <f t="shared" si="15"/>
        <v>0</v>
      </c>
    </row>
    <row r="11" spans="1:30">
      <c r="A11" s="28">
        <v>0</v>
      </c>
      <c r="B11" t="s">
        <v>378</v>
      </c>
      <c r="C11" s="231">
        <v>124.12974496799998</v>
      </c>
      <c r="D11" s="233">
        <f t="shared" si="2"/>
        <v>124.12974496799998</v>
      </c>
      <c r="E11" s="233">
        <f t="shared" si="3"/>
        <v>124.12974496799998</v>
      </c>
      <c r="F11" s="233">
        <f t="shared" si="4"/>
        <v>124.12974496799998</v>
      </c>
      <c r="G11" s="233">
        <f t="shared" si="5"/>
        <v>124.12974496799998</v>
      </c>
      <c r="H11" s="233">
        <f t="shared" si="6"/>
        <v>124.12974496799998</v>
      </c>
      <c r="I11" s="233">
        <f t="shared" si="7"/>
        <v>124.12974496799998</v>
      </c>
      <c r="J11" s="233">
        <f t="shared" si="8"/>
        <v>124.12974496799998</v>
      </c>
      <c r="K11" s="233">
        <f t="shared" si="9"/>
        <v>124.12974496799998</v>
      </c>
      <c r="L11" s="233">
        <f t="shared" si="10"/>
        <v>124.12974496799998</v>
      </c>
      <c r="M11" s="233">
        <f t="shared" si="11"/>
        <v>124.12974496799998</v>
      </c>
      <c r="N11" s="233">
        <f t="shared" si="12"/>
        <v>124.12974496799998</v>
      </c>
      <c r="O11" s="233">
        <f t="shared" si="13"/>
        <v>124.12974496799998</v>
      </c>
    </row>
    <row r="12" spans="1:30">
      <c r="A12" s="28">
        <v>0</v>
      </c>
      <c r="B12" t="s">
        <v>379</v>
      </c>
      <c r="C12" s="231">
        <v>160.92657929699996</v>
      </c>
      <c r="D12" s="233">
        <f t="shared" ref="D12:O12" si="16">(C12*(1+$A12))</f>
        <v>160.92657929699996</v>
      </c>
      <c r="E12" s="233">
        <f t="shared" si="16"/>
        <v>160.92657929699996</v>
      </c>
      <c r="F12" s="233">
        <f t="shared" si="16"/>
        <v>160.92657929699996</v>
      </c>
      <c r="G12" s="233">
        <f t="shared" si="16"/>
        <v>160.92657929699996</v>
      </c>
      <c r="H12" s="233">
        <f t="shared" si="16"/>
        <v>160.92657929699996</v>
      </c>
      <c r="I12" s="233">
        <f t="shared" si="16"/>
        <v>160.92657929699996</v>
      </c>
      <c r="J12" s="233">
        <f t="shared" si="16"/>
        <v>160.92657929699996</v>
      </c>
      <c r="K12" s="233">
        <f t="shared" si="16"/>
        <v>160.92657929699996</v>
      </c>
      <c r="L12" s="233">
        <f t="shared" si="16"/>
        <v>160.92657929699996</v>
      </c>
      <c r="M12" s="233">
        <f t="shared" si="16"/>
        <v>160.92657929699996</v>
      </c>
      <c r="N12" s="233">
        <f t="shared" si="16"/>
        <v>160.92657929699996</v>
      </c>
      <c r="O12" s="233">
        <f t="shared" si="16"/>
        <v>160.92657929699996</v>
      </c>
    </row>
    <row r="13" spans="1:30">
      <c r="A13" s="28">
        <v>0</v>
      </c>
      <c r="B13" t="s">
        <v>380</v>
      </c>
      <c r="C13" s="231">
        <v>770.46672092699998</v>
      </c>
      <c r="D13" s="233">
        <f t="shared" si="2"/>
        <v>770.46672092699998</v>
      </c>
      <c r="E13" s="233">
        <f t="shared" si="3"/>
        <v>770.46672092699998</v>
      </c>
      <c r="F13" s="233">
        <f t="shared" si="4"/>
        <v>770.46672092699998</v>
      </c>
      <c r="G13" s="233">
        <f t="shared" si="5"/>
        <v>770.46672092699998</v>
      </c>
      <c r="H13" s="233">
        <f t="shared" si="6"/>
        <v>770.46672092699998</v>
      </c>
      <c r="I13" s="233">
        <f t="shared" si="7"/>
        <v>770.46672092699998</v>
      </c>
      <c r="J13" s="233">
        <f t="shared" si="8"/>
        <v>770.46672092699998</v>
      </c>
      <c r="K13" s="233">
        <f t="shared" si="9"/>
        <v>770.46672092699998</v>
      </c>
      <c r="L13" s="233">
        <f t="shared" si="10"/>
        <v>770.46672092699998</v>
      </c>
      <c r="M13" s="233">
        <f t="shared" si="11"/>
        <v>770.46672092699998</v>
      </c>
      <c r="N13" s="233">
        <f t="shared" si="12"/>
        <v>770.46672092699998</v>
      </c>
      <c r="O13" s="233">
        <f t="shared" si="13"/>
        <v>770.46672092699998</v>
      </c>
    </row>
    <row r="14" spans="1:30" s="25" customFormat="1" ht="15.75" thickBot="1">
      <c r="A14" s="53"/>
      <c r="B14" s="53" t="s">
        <v>150</v>
      </c>
      <c r="C14" s="232">
        <f>SUM(C3:C13)</f>
        <v>5574.404757506999</v>
      </c>
      <c r="D14" s="232">
        <f t="shared" ref="D14:O14" si="17">SUM(D3:D13)</f>
        <v>5859.2807575069992</v>
      </c>
      <c r="E14" s="232">
        <f t="shared" si="17"/>
        <v>6348.6747575069994</v>
      </c>
      <c r="F14" s="232">
        <f t="shared" si="17"/>
        <v>6348.6747575069994</v>
      </c>
      <c r="G14" s="232">
        <f t="shared" si="17"/>
        <v>6348.6747575069994</v>
      </c>
      <c r="H14" s="232">
        <f t="shared" si="17"/>
        <v>6348.6747575069994</v>
      </c>
      <c r="I14" s="232">
        <f t="shared" si="17"/>
        <v>6348.6747575069994</v>
      </c>
      <c r="J14" s="232">
        <f t="shared" si="17"/>
        <v>6348.6747575069994</v>
      </c>
      <c r="K14" s="232">
        <f t="shared" si="17"/>
        <v>6348.6747575069994</v>
      </c>
      <c r="L14" s="232">
        <f t="shared" si="17"/>
        <v>6348.6747575069994</v>
      </c>
      <c r="M14" s="232">
        <f t="shared" si="17"/>
        <v>6298.3290450659997</v>
      </c>
      <c r="N14" s="232">
        <f t="shared" si="17"/>
        <v>6298.3290450659997</v>
      </c>
      <c r="O14" s="232">
        <f t="shared" si="17"/>
        <v>6298.3290450659997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5.75" thickTop="1">
      <c r="C15" s="164"/>
      <c r="D15" s="33"/>
    </row>
    <row r="16" spans="1:30">
      <c r="A16" s="39" t="s">
        <v>381</v>
      </c>
      <c r="B16" s="40"/>
      <c r="C16" s="54"/>
      <c r="D16" s="54"/>
      <c r="E16" s="54"/>
      <c r="F16" s="54"/>
      <c r="G16" s="40"/>
      <c r="H16" s="40"/>
      <c r="I16" s="40"/>
      <c r="J16" s="40"/>
      <c r="K16" s="40"/>
      <c r="L16" s="40"/>
      <c r="M16" s="40"/>
      <c r="N16" s="40"/>
      <c r="O16" s="40"/>
    </row>
    <row r="17" spans="1:15">
      <c r="B17" t="s">
        <v>382</v>
      </c>
      <c r="C17" s="33">
        <v>0.87</v>
      </c>
      <c r="D17" s="33">
        <v>0.86</v>
      </c>
      <c r="E17" s="33">
        <v>0.85</v>
      </c>
      <c r="F17" s="33">
        <v>0.84</v>
      </c>
      <c r="G17" s="33">
        <v>0.83</v>
      </c>
      <c r="H17" s="33">
        <v>0.82</v>
      </c>
      <c r="I17" s="33">
        <v>0.81</v>
      </c>
      <c r="J17" s="33">
        <v>0.8</v>
      </c>
      <c r="K17" s="33">
        <v>0.78</v>
      </c>
      <c r="L17" s="33">
        <v>0.76</v>
      </c>
      <c r="M17" s="33">
        <v>0.74</v>
      </c>
      <c r="N17" s="33">
        <v>0.72</v>
      </c>
      <c r="O17" s="33">
        <v>0.7</v>
      </c>
    </row>
    <row r="18" spans="1:15">
      <c r="B18" t="s">
        <v>383</v>
      </c>
      <c r="C18" s="33">
        <f>C$17/$C$17</f>
        <v>1</v>
      </c>
      <c r="D18" s="33">
        <f>D$17/$C$17</f>
        <v>0.9885057471264368</v>
      </c>
      <c r="E18" s="33">
        <f>E$17/$C$17</f>
        <v>0.97701149425287359</v>
      </c>
      <c r="F18" s="33">
        <f t="shared" ref="F18:O18" si="18">F$17/$C$17</f>
        <v>0.96551724137931028</v>
      </c>
      <c r="G18" s="33">
        <f t="shared" si="18"/>
        <v>0.95402298850574707</v>
      </c>
      <c r="H18" s="33">
        <f t="shared" si="18"/>
        <v>0.94252873563218387</v>
      </c>
      <c r="I18" s="33">
        <f t="shared" si="18"/>
        <v>0.93103448275862077</v>
      </c>
      <c r="J18" s="33">
        <f t="shared" si="18"/>
        <v>0.91954022988505757</v>
      </c>
      <c r="K18" s="33">
        <f t="shared" si="18"/>
        <v>0.89655172413793105</v>
      </c>
      <c r="L18" s="33">
        <f t="shared" si="18"/>
        <v>0.87356321839080464</v>
      </c>
      <c r="M18" s="33">
        <f t="shared" si="18"/>
        <v>0.85057471264367812</v>
      </c>
      <c r="N18" s="33">
        <f t="shared" si="18"/>
        <v>0.82758620689655171</v>
      </c>
      <c r="O18" s="33">
        <f t="shared" si="18"/>
        <v>0.80459770114942519</v>
      </c>
    </row>
    <row r="19" spans="1:15">
      <c r="B19" t="s">
        <v>384</v>
      </c>
      <c r="C19" s="33">
        <v>0.56999999999999995</v>
      </c>
      <c r="D19" s="33">
        <v>0.56000000000000005</v>
      </c>
      <c r="E19" s="33">
        <v>0.55000000000000004</v>
      </c>
      <c r="F19" s="33">
        <v>0.54</v>
      </c>
      <c r="G19" s="33">
        <v>0.53</v>
      </c>
      <c r="H19" s="33">
        <v>0.52</v>
      </c>
      <c r="I19" s="33">
        <v>0.51</v>
      </c>
      <c r="J19" s="33">
        <v>0.5</v>
      </c>
      <c r="K19" s="33">
        <v>0.48</v>
      </c>
      <c r="L19" s="33">
        <v>0.46</v>
      </c>
      <c r="M19" s="33">
        <v>0.44</v>
      </c>
      <c r="N19" s="33">
        <v>0.42</v>
      </c>
      <c r="O19" s="33">
        <v>0.4</v>
      </c>
    </row>
    <row r="20" spans="1:15">
      <c r="B20" t="s">
        <v>385</v>
      </c>
      <c r="C20" s="33">
        <f>C$19/$C$19</f>
        <v>1</v>
      </c>
      <c r="D20" s="33">
        <f>D19/$C$19</f>
        <v>0.98245614035087736</v>
      </c>
      <c r="E20" s="33">
        <f>E19/$C$19</f>
        <v>0.9649122807017545</v>
      </c>
      <c r="F20" s="33">
        <f t="shared" ref="F20:O20" si="19">F19/$C$19</f>
        <v>0.94736842105263175</v>
      </c>
      <c r="G20" s="33">
        <f t="shared" si="19"/>
        <v>0.92982456140350889</v>
      </c>
      <c r="H20" s="33">
        <f t="shared" si="19"/>
        <v>0.91228070175438603</v>
      </c>
      <c r="I20" s="33">
        <f t="shared" si="19"/>
        <v>0.89473684210526327</v>
      </c>
      <c r="J20" s="33">
        <f t="shared" si="19"/>
        <v>0.87719298245614041</v>
      </c>
      <c r="K20" s="33">
        <f t="shared" si="19"/>
        <v>0.8421052631578948</v>
      </c>
      <c r="L20" s="33">
        <f t="shared" si="19"/>
        <v>0.80701754385964919</v>
      </c>
      <c r="M20" s="33">
        <f t="shared" si="19"/>
        <v>0.77192982456140358</v>
      </c>
      <c r="N20" s="33">
        <f t="shared" si="19"/>
        <v>0.73684210526315796</v>
      </c>
      <c r="O20" s="33">
        <f t="shared" si="19"/>
        <v>0.70175438596491235</v>
      </c>
    </row>
    <row r="21" spans="1:15">
      <c r="A21" s="21" t="s">
        <v>195</v>
      </c>
      <c r="B21" s="559" t="s">
        <v>370</v>
      </c>
      <c r="C21" s="560">
        <f>C3</f>
        <v>593.13300000000004</v>
      </c>
      <c r="D21" s="560">
        <f t="shared" ref="C21:O22" si="20">D3*D$18</f>
        <v>867.9169425287356</v>
      </c>
      <c r="E21" s="560">
        <f>E3*E$17</f>
        <v>1162.2925499999999</v>
      </c>
      <c r="F21" s="560">
        <f t="shared" ref="F21:O21" si="21">F3*F$17</f>
        <v>1148.61852</v>
      </c>
      <c r="G21" s="560">
        <f t="shared" si="21"/>
        <v>1134.9444899999999</v>
      </c>
      <c r="H21" s="560">
        <f t="shared" si="21"/>
        <v>1121.27046</v>
      </c>
      <c r="I21" s="560">
        <f t="shared" si="21"/>
        <v>1107.5964300000001</v>
      </c>
      <c r="J21" s="560">
        <f t="shared" si="21"/>
        <v>1093.9224000000002</v>
      </c>
      <c r="K21" s="560">
        <f t="shared" si="21"/>
        <v>1066.5743400000001</v>
      </c>
      <c r="L21" s="560">
        <f t="shared" si="21"/>
        <v>1039.2262800000001</v>
      </c>
      <c r="M21" s="560">
        <f t="shared" si="21"/>
        <v>1011.8782200000001</v>
      </c>
      <c r="N21" s="560">
        <f t="shared" si="21"/>
        <v>984.53016000000002</v>
      </c>
      <c r="O21" s="560">
        <f t="shared" si="21"/>
        <v>957.18209999999999</v>
      </c>
    </row>
    <row r="22" spans="1:15">
      <c r="A22" s="21"/>
      <c r="B22" s="55" t="s">
        <v>371</v>
      </c>
      <c r="C22" s="234">
        <f t="shared" si="20"/>
        <v>654.37487714399992</v>
      </c>
      <c r="D22" s="179">
        <f t="shared" si="20"/>
        <v>646.85332683199988</v>
      </c>
      <c r="E22" s="179">
        <f>E4*E$18</f>
        <v>639.33177651999995</v>
      </c>
      <c r="F22" s="179">
        <f t="shared" si="20"/>
        <v>631.8102262079999</v>
      </c>
      <c r="G22" s="179">
        <f t="shared" si="20"/>
        <v>624.28867589599986</v>
      </c>
      <c r="H22" s="179">
        <f t="shared" si="20"/>
        <v>616.76712558399993</v>
      </c>
      <c r="I22" s="179">
        <f t="shared" si="20"/>
        <v>609.245575272</v>
      </c>
      <c r="J22" s="179">
        <f t="shared" si="20"/>
        <v>601.72402495999995</v>
      </c>
      <c r="K22" s="179">
        <f t="shared" si="20"/>
        <v>586.68092433599998</v>
      </c>
      <c r="L22" s="179">
        <f t="shared" si="20"/>
        <v>571.637823712</v>
      </c>
      <c r="M22" s="179">
        <f t="shared" si="20"/>
        <v>556.59472308799991</v>
      </c>
      <c r="N22" s="179">
        <f t="shared" si="20"/>
        <v>541.55162246399993</v>
      </c>
      <c r="O22" s="179">
        <f t="shared" si="20"/>
        <v>526.50852183999984</v>
      </c>
    </row>
    <row r="23" spans="1:15">
      <c r="A23" s="21"/>
      <c r="B23" s="55" t="s">
        <v>372</v>
      </c>
      <c r="C23" s="234">
        <f t="shared" ref="C23:O23" si="22">C5*C$18</f>
        <v>1825.7309088150002</v>
      </c>
      <c r="D23" s="179">
        <f t="shared" si="22"/>
        <v>1804.7454960700002</v>
      </c>
      <c r="E23" s="179">
        <f>E5*E$18</f>
        <v>1783.7600833250003</v>
      </c>
      <c r="F23" s="179">
        <f t="shared" si="22"/>
        <v>1762.77467058</v>
      </c>
      <c r="G23" s="179">
        <f t="shared" si="22"/>
        <v>1741.7892578350002</v>
      </c>
      <c r="H23" s="179">
        <f t="shared" si="22"/>
        <v>1720.8038450900001</v>
      </c>
      <c r="I23" s="179">
        <f t="shared" si="22"/>
        <v>1699.8184323450005</v>
      </c>
      <c r="J23" s="179">
        <f t="shared" si="22"/>
        <v>1678.8330196000004</v>
      </c>
      <c r="K23" s="179">
        <f t="shared" si="22"/>
        <v>1636.8621941100002</v>
      </c>
      <c r="L23" s="179">
        <f t="shared" si="22"/>
        <v>1594.8913686200003</v>
      </c>
      <c r="M23" s="179">
        <f t="shared" si="22"/>
        <v>1552.9205431300002</v>
      </c>
      <c r="N23" s="179">
        <f t="shared" si="22"/>
        <v>1510.9497176400002</v>
      </c>
      <c r="O23" s="179">
        <f t="shared" si="22"/>
        <v>1468.9788921500001</v>
      </c>
    </row>
    <row r="24" spans="1:15">
      <c r="A24" s="21"/>
      <c r="B24" s="55" t="s">
        <v>373</v>
      </c>
      <c r="C24" s="234">
        <f t="shared" ref="C24:O24" si="23">C6*C$18</f>
        <v>988.76606413800005</v>
      </c>
      <c r="D24" s="179">
        <f t="shared" si="23"/>
        <v>977.40093696400004</v>
      </c>
      <c r="E24" s="179">
        <f t="shared" si="23"/>
        <v>966.03580979000003</v>
      </c>
      <c r="F24" s="179">
        <f t="shared" si="23"/>
        <v>954.67068261600002</v>
      </c>
      <c r="G24" s="179">
        <f t="shared" si="23"/>
        <v>943.30555544200001</v>
      </c>
      <c r="H24" s="179">
        <f t="shared" si="23"/>
        <v>931.94042826800001</v>
      </c>
      <c r="I24" s="179">
        <f t="shared" si="23"/>
        <v>920.57530109400011</v>
      </c>
      <c r="J24" s="179">
        <f t="shared" si="23"/>
        <v>909.2101739200001</v>
      </c>
      <c r="K24" s="179">
        <f t="shared" si="23"/>
        <v>886.47991957200009</v>
      </c>
      <c r="L24" s="179">
        <f t="shared" si="23"/>
        <v>863.74966522400007</v>
      </c>
      <c r="M24" s="179">
        <f t="shared" si="23"/>
        <v>841.01941087600005</v>
      </c>
      <c r="N24" s="179">
        <f t="shared" si="23"/>
        <v>818.28915652800003</v>
      </c>
      <c r="O24" s="179">
        <f t="shared" si="23"/>
        <v>795.5589021799999</v>
      </c>
    </row>
    <row r="25" spans="1:15">
      <c r="A25" s="21"/>
      <c r="B25" s="21" t="s">
        <v>374</v>
      </c>
      <c r="C25" s="253">
        <f t="shared" ref="C25:O25" si="24">C7*C$18</f>
        <v>19.741015923000003</v>
      </c>
      <c r="D25" s="253">
        <f t="shared" si="24"/>
        <v>19.514107694000003</v>
      </c>
      <c r="E25" s="253">
        <f t="shared" si="24"/>
        <v>19.287199465000004</v>
      </c>
      <c r="F25" s="253">
        <f t="shared" si="24"/>
        <v>19.060291236000001</v>
      </c>
      <c r="G25" s="253">
        <f t="shared" si="24"/>
        <v>18.833383007000002</v>
      </c>
      <c r="H25" s="253">
        <f t="shared" si="24"/>
        <v>18.606474778000003</v>
      </c>
      <c r="I25" s="253">
        <f t="shared" si="24"/>
        <v>18.379566549000003</v>
      </c>
      <c r="J25" s="253">
        <f t="shared" si="24"/>
        <v>18.152658320000004</v>
      </c>
      <c r="K25" s="253">
        <f t="shared" si="24"/>
        <v>17.698841862000002</v>
      </c>
      <c r="L25" s="253">
        <f t="shared" si="24"/>
        <v>17.245025404000003</v>
      </c>
      <c r="M25" s="253">
        <f t="shared" si="24"/>
        <v>16.791208946000001</v>
      </c>
      <c r="N25" s="253">
        <f t="shared" si="24"/>
        <v>16.337392488000003</v>
      </c>
      <c r="O25" s="253">
        <f t="shared" si="24"/>
        <v>15.88357603</v>
      </c>
    </row>
    <row r="26" spans="1:15">
      <c r="A26" s="21"/>
      <c r="B26" s="55" t="s">
        <v>375</v>
      </c>
      <c r="C26" s="234">
        <f t="shared" ref="C26:O26" si="25">C8*C$18</f>
        <v>331.15706761199999</v>
      </c>
      <c r="D26" s="179">
        <f t="shared" si="25"/>
        <v>327.35066453600001</v>
      </c>
      <c r="E26" s="179">
        <f t="shared" si="25"/>
        <v>323.54426145999997</v>
      </c>
      <c r="F26" s="179">
        <f t="shared" si="25"/>
        <v>319.73785838399999</v>
      </c>
      <c r="G26" s="179">
        <f t="shared" si="25"/>
        <v>315.93145530799995</v>
      </c>
      <c r="H26" s="179">
        <f t="shared" si="25"/>
        <v>312.12505223199997</v>
      </c>
      <c r="I26" s="179">
        <f t="shared" si="25"/>
        <v>308.31864915599999</v>
      </c>
      <c r="J26" s="179">
        <f t="shared" si="25"/>
        <v>304.51224608000001</v>
      </c>
      <c r="K26" s="179">
        <f t="shared" si="25"/>
        <v>296.89943992799999</v>
      </c>
      <c r="L26" s="179">
        <f t="shared" si="25"/>
        <v>289.28663377600003</v>
      </c>
      <c r="M26" s="179">
        <f t="shared" si="25"/>
        <v>281.67382762399995</v>
      </c>
      <c r="N26" s="179">
        <f t="shared" si="25"/>
        <v>274.06102147199999</v>
      </c>
      <c r="O26" s="179">
        <f t="shared" si="25"/>
        <v>266.44821531999997</v>
      </c>
    </row>
    <row r="27" spans="1:15">
      <c r="A27" s="16" t="s">
        <v>386</v>
      </c>
      <c r="B27" s="16" t="s">
        <v>376</v>
      </c>
      <c r="C27" s="235">
        <f t="shared" ref="C27:O27" si="26">C9*C$20</f>
        <v>55.633066241999998</v>
      </c>
      <c r="D27" s="235">
        <f t="shared" si="26"/>
        <v>54.657047536000007</v>
      </c>
      <c r="E27" s="235">
        <f t="shared" si="26"/>
        <v>53.681028830000002</v>
      </c>
      <c r="F27" s="235">
        <f t="shared" si="26"/>
        <v>52.705010124000005</v>
      </c>
      <c r="G27" s="235">
        <f t="shared" si="26"/>
        <v>51.728991418000007</v>
      </c>
      <c r="H27" s="235">
        <f t="shared" si="26"/>
        <v>50.752972712000002</v>
      </c>
      <c r="I27" s="235">
        <f t="shared" si="26"/>
        <v>49.776954006000004</v>
      </c>
      <c r="J27" s="235">
        <f t="shared" si="26"/>
        <v>48.800935299999999</v>
      </c>
      <c r="K27" s="235">
        <f t="shared" si="26"/>
        <v>46.848897888000003</v>
      </c>
      <c r="L27" s="235">
        <f t="shared" si="26"/>
        <v>44.896860476000001</v>
      </c>
      <c r="M27" s="235">
        <f t="shared" si="26"/>
        <v>42.944823064000005</v>
      </c>
      <c r="N27" s="235">
        <f t="shared" si="26"/>
        <v>40.992785652000002</v>
      </c>
      <c r="O27" s="235">
        <f t="shared" si="26"/>
        <v>39.040748239999999</v>
      </c>
    </row>
    <row r="28" spans="1:15">
      <c r="A28" s="16"/>
      <c r="B28" s="16" t="s">
        <v>377</v>
      </c>
      <c r="C28" s="235">
        <f t="shared" ref="C28:O28" si="27">C10*C$20</f>
        <v>50.345712440999996</v>
      </c>
      <c r="D28" s="235">
        <f t="shared" si="27"/>
        <v>49.462454328000007</v>
      </c>
      <c r="E28" s="235">
        <f t="shared" si="27"/>
        <v>48.579196215000003</v>
      </c>
      <c r="F28" s="235">
        <f t="shared" si="27"/>
        <v>47.695938102000007</v>
      </c>
      <c r="G28" s="235">
        <f t="shared" si="27"/>
        <v>46.812679989000003</v>
      </c>
      <c r="H28" s="235">
        <f t="shared" si="27"/>
        <v>45.929421875999999</v>
      </c>
      <c r="I28" s="235">
        <f t="shared" si="27"/>
        <v>45.046163763000003</v>
      </c>
      <c r="J28" s="235">
        <f t="shared" si="27"/>
        <v>44.162905649999999</v>
      </c>
      <c r="K28" s="235">
        <f t="shared" si="27"/>
        <v>42.396389423999999</v>
      </c>
      <c r="L28" s="235">
        <f t="shared" si="27"/>
        <v>40.629873197999999</v>
      </c>
      <c r="M28" s="235">
        <f t="shared" si="27"/>
        <v>0</v>
      </c>
      <c r="N28" s="235">
        <f t="shared" si="27"/>
        <v>0</v>
      </c>
      <c r="O28" s="235">
        <f t="shared" si="27"/>
        <v>0</v>
      </c>
    </row>
    <row r="29" spans="1:15">
      <c r="A29" s="16"/>
      <c r="B29" s="16" t="s">
        <v>378</v>
      </c>
      <c r="C29" s="235">
        <f t="shared" ref="C29:O29" si="28">C11*C$20</f>
        <v>124.12974496799998</v>
      </c>
      <c r="D29" s="235">
        <f t="shared" si="28"/>
        <v>121.95203014400001</v>
      </c>
      <c r="E29" s="235">
        <f t="shared" si="28"/>
        <v>119.77431532</v>
      </c>
      <c r="F29" s="235">
        <f t="shared" si="28"/>
        <v>117.59660049600001</v>
      </c>
      <c r="G29" s="235">
        <f t="shared" si="28"/>
        <v>115.418885672</v>
      </c>
      <c r="H29" s="235">
        <f t="shared" si="28"/>
        <v>113.241170848</v>
      </c>
      <c r="I29" s="235">
        <f t="shared" si="28"/>
        <v>111.063456024</v>
      </c>
      <c r="J29" s="235">
        <f t="shared" si="28"/>
        <v>108.8857412</v>
      </c>
      <c r="K29" s="235">
        <f t="shared" si="28"/>
        <v>104.530311552</v>
      </c>
      <c r="L29" s="235">
        <f t="shared" si="28"/>
        <v>100.17488190399999</v>
      </c>
      <c r="M29" s="235">
        <f t="shared" si="28"/>
        <v>95.819452255999991</v>
      </c>
      <c r="N29" s="235">
        <f t="shared" si="28"/>
        <v>91.464022607999993</v>
      </c>
      <c r="O29" s="235">
        <f t="shared" si="28"/>
        <v>87.108592959999996</v>
      </c>
    </row>
    <row r="30" spans="1:15">
      <c r="A30" s="16"/>
      <c r="B30" s="16" t="s">
        <v>379</v>
      </c>
      <c r="C30" s="235">
        <f t="shared" ref="C30:O30" si="29">C12*C$20</f>
        <v>160.92657929699996</v>
      </c>
      <c r="D30" s="235">
        <f t="shared" si="29"/>
        <v>158.103305976</v>
      </c>
      <c r="E30" s="235">
        <f t="shared" si="29"/>
        <v>155.28003265499999</v>
      </c>
      <c r="F30" s="235">
        <f t="shared" si="29"/>
        <v>152.456759334</v>
      </c>
      <c r="G30" s="235">
        <f t="shared" si="29"/>
        <v>149.63348601299998</v>
      </c>
      <c r="H30" s="235">
        <f t="shared" si="29"/>
        <v>146.81021269199996</v>
      </c>
      <c r="I30" s="235">
        <f t="shared" si="29"/>
        <v>143.98693937099998</v>
      </c>
      <c r="J30" s="235">
        <f t="shared" si="29"/>
        <v>141.16366604999999</v>
      </c>
      <c r="K30" s="235">
        <f t="shared" si="29"/>
        <v>135.51711940799999</v>
      </c>
      <c r="L30" s="235">
        <f t="shared" si="29"/>
        <v>129.87057276599998</v>
      </c>
      <c r="M30" s="235">
        <f t="shared" si="29"/>
        <v>124.22402612399998</v>
      </c>
      <c r="N30" s="235">
        <f t="shared" si="29"/>
        <v>118.57747948199999</v>
      </c>
      <c r="O30" s="235">
        <f t="shared" si="29"/>
        <v>112.93093283999998</v>
      </c>
    </row>
    <row r="31" spans="1:15">
      <c r="A31" s="16"/>
      <c r="B31" s="16" t="s">
        <v>380</v>
      </c>
      <c r="C31" s="235">
        <f t="shared" ref="C31:O31" si="30">C13*C$20</f>
        <v>770.46672092699998</v>
      </c>
      <c r="D31" s="235">
        <f t="shared" si="30"/>
        <v>756.94976091073693</v>
      </c>
      <c r="E31" s="235">
        <f t="shared" si="30"/>
        <v>743.43280089447376</v>
      </c>
      <c r="F31" s="235">
        <f t="shared" si="30"/>
        <v>729.91584087821059</v>
      </c>
      <c r="G31" s="235">
        <f t="shared" si="30"/>
        <v>716.39888086194742</v>
      </c>
      <c r="H31" s="235">
        <f t="shared" si="30"/>
        <v>702.88192084568425</v>
      </c>
      <c r="I31" s="235">
        <f t="shared" si="30"/>
        <v>689.36496082942108</v>
      </c>
      <c r="J31" s="235">
        <f t="shared" si="30"/>
        <v>675.84800081315791</v>
      </c>
      <c r="K31" s="235">
        <f t="shared" si="30"/>
        <v>648.81408078063157</v>
      </c>
      <c r="L31" s="235">
        <f t="shared" si="30"/>
        <v>621.78016074810535</v>
      </c>
      <c r="M31" s="235">
        <f t="shared" si="30"/>
        <v>594.74624071557901</v>
      </c>
      <c r="N31" s="235">
        <f t="shared" si="30"/>
        <v>567.71232068305267</v>
      </c>
      <c r="O31" s="235">
        <f t="shared" si="30"/>
        <v>540.67840065052633</v>
      </c>
    </row>
    <row r="32" spans="1:15" ht="15.75" thickBot="1">
      <c r="A32" s="56"/>
      <c r="B32" s="56" t="s">
        <v>150</v>
      </c>
      <c r="C32" s="232">
        <f t="shared" ref="C32:O32" si="31">SUM(C23:C31)</f>
        <v>4326.8968803630005</v>
      </c>
      <c r="D32" s="232">
        <f t="shared" si="31"/>
        <v>4270.1358041587373</v>
      </c>
      <c r="E32" s="232">
        <f t="shared" si="31"/>
        <v>4213.3747279544741</v>
      </c>
      <c r="F32" s="232">
        <f t="shared" si="31"/>
        <v>4156.6136517502109</v>
      </c>
      <c r="G32" s="232">
        <f t="shared" si="31"/>
        <v>4099.8525755459477</v>
      </c>
      <c r="H32" s="232">
        <f t="shared" si="31"/>
        <v>4043.0914993416845</v>
      </c>
      <c r="I32" s="232">
        <f t="shared" si="31"/>
        <v>3986.3304231374223</v>
      </c>
      <c r="J32" s="232">
        <f t="shared" si="31"/>
        <v>3929.5693469331586</v>
      </c>
      <c r="K32" s="232">
        <f t="shared" si="31"/>
        <v>3816.0471945246318</v>
      </c>
      <c r="L32" s="232">
        <f t="shared" si="31"/>
        <v>3702.5250421161054</v>
      </c>
      <c r="M32" s="232">
        <f t="shared" si="31"/>
        <v>3550.1395327355795</v>
      </c>
      <c r="N32" s="232">
        <f t="shared" si="31"/>
        <v>3438.3838965530531</v>
      </c>
      <c r="O32" s="232">
        <f t="shared" si="31"/>
        <v>3326.6282603705263</v>
      </c>
    </row>
    <row r="33" spans="1:30" ht="15.75" thickTop="1"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30" ht="16.5" customHeight="1">
      <c r="A34" s="57" t="s">
        <v>387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30" s="19" customFormat="1">
      <c r="A35"/>
      <c r="B35" t="s">
        <v>370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>
      <c r="B36" t="s">
        <v>371</v>
      </c>
      <c r="C36" s="59">
        <v>1</v>
      </c>
      <c r="D36" s="59">
        <v>1</v>
      </c>
      <c r="E36" s="59">
        <v>1</v>
      </c>
      <c r="F36" s="59">
        <v>1</v>
      </c>
      <c r="G36" s="59">
        <v>1</v>
      </c>
      <c r="H36" s="59">
        <v>1</v>
      </c>
      <c r="I36" s="59">
        <v>1</v>
      </c>
      <c r="J36" s="59">
        <v>1</v>
      </c>
      <c r="K36" s="59">
        <v>1</v>
      </c>
      <c r="L36" s="59">
        <v>1</v>
      </c>
      <c r="M36" s="59">
        <v>1</v>
      </c>
      <c r="N36" s="59">
        <v>1</v>
      </c>
      <c r="O36" s="59">
        <v>1</v>
      </c>
    </row>
    <row r="37" spans="1:30">
      <c r="B37" t="s">
        <v>372</v>
      </c>
      <c r="C37" s="28">
        <v>1</v>
      </c>
      <c r="D37" s="28">
        <v>0.88</v>
      </c>
      <c r="E37" s="28">
        <v>0.88</v>
      </c>
      <c r="F37" s="28">
        <v>0.76</v>
      </c>
      <c r="G37" s="28">
        <v>0.76</v>
      </c>
      <c r="H37" s="28">
        <v>0.76</v>
      </c>
      <c r="I37" s="28">
        <v>0.76</v>
      </c>
      <c r="J37" s="28">
        <v>0.76</v>
      </c>
      <c r="K37" s="28">
        <v>0.76</v>
      </c>
      <c r="L37" s="28">
        <v>0.76</v>
      </c>
      <c r="M37" s="28">
        <v>0.76</v>
      </c>
      <c r="N37" s="28">
        <v>0.76</v>
      </c>
      <c r="O37" s="28">
        <v>0.76</v>
      </c>
    </row>
    <row r="38" spans="1:30" s="19" customFormat="1">
      <c r="A38"/>
      <c r="B38" t="s">
        <v>373</v>
      </c>
      <c r="C38" s="28">
        <v>1</v>
      </c>
      <c r="D38" s="28">
        <v>0.5</v>
      </c>
      <c r="E38" s="28">
        <v>0.5</v>
      </c>
      <c r="F38" s="28">
        <v>1</v>
      </c>
      <c r="G38" s="28">
        <v>1</v>
      </c>
      <c r="H38" s="28">
        <v>0.5</v>
      </c>
      <c r="I38" s="28">
        <v>0.5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>
      <c r="B39" t="s">
        <v>374</v>
      </c>
      <c r="C39" s="59">
        <v>1</v>
      </c>
      <c r="D39" s="59">
        <v>1</v>
      </c>
      <c r="E39" s="59">
        <v>1</v>
      </c>
      <c r="F39" s="59">
        <v>1</v>
      </c>
      <c r="G39" s="59">
        <v>1</v>
      </c>
      <c r="H39" s="59">
        <v>1</v>
      </c>
      <c r="I39" s="59">
        <v>1</v>
      </c>
      <c r="J39" s="59">
        <v>1</v>
      </c>
      <c r="K39" s="59">
        <v>1</v>
      </c>
      <c r="L39" s="59">
        <v>1</v>
      </c>
      <c r="M39" s="59">
        <v>1</v>
      </c>
      <c r="N39" s="59">
        <v>1</v>
      </c>
      <c r="O39" s="59">
        <v>1</v>
      </c>
    </row>
    <row r="40" spans="1:30">
      <c r="B40" t="s">
        <v>375</v>
      </c>
      <c r="C40" s="59">
        <v>1</v>
      </c>
      <c r="D40" s="59">
        <v>1</v>
      </c>
      <c r="E40" s="59">
        <v>1</v>
      </c>
      <c r="F40" s="59">
        <v>1</v>
      </c>
      <c r="G40" s="59">
        <v>1</v>
      </c>
      <c r="H40" s="59">
        <v>1</v>
      </c>
      <c r="I40" s="59">
        <v>1</v>
      </c>
      <c r="J40" s="59">
        <v>1</v>
      </c>
      <c r="K40" s="59">
        <v>1</v>
      </c>
      <c r="L40" s="59">
        <v>1</v>
      </c>
      <c r="M40" s="59">
        <v>1</v>
      </c>
      <c r="N40" s="59">
        <v>1</v>
      </c>
      <c r="O40" s="59">
        <v>1</v>
      </c>
    </row>
    <row r="41" spans="1:30">
      <c r="B41" t="s">
        <v>376</v>
      </c>
      <c r="C41" s="59">
        <v>1</v>
      </c>
      <c r="D41" s="59">
        <v>1</v>
      </c>
      <c r="E41" s="59">
        <v>1</v>
      </c>
      <c r="F41" s="59">
        <v>1</v>
      </c>
      <c r="G41" s="59">
        <v>1</v>
      </c>
      <c r="H41" s="59">
        <v>1</v>
      </c>
      <c r="I41" s="59">
        <v>1</v>
      </c>
      <c r="J41" s="59">
        <v>1</v>
      </c>
      <c r="K41" s="59">
        <v>1</v>
      </c>
      <c r="L41" s="59">
        <v>1</v>
      </c>
      <c r="M41" s="59">
        <v>1</v>
      </c>
      <c r="N41" s="59">
        <v>1</v>
      </c>
      <c r="O41" s="59">
        <v>1</v>
      </c>
    </row>
    <row r="42" spans="1:30">
      <c r="B42" t="s">
        <v>377</v>
      </c>
      <c r="C42" s="59">
        <v>1</v>
      </c>
      <c r="D42" s="59">
        <v>1</v>
      </c>
      <c r="E42" s="59">
        <v>1</v>
      </c>
      <c r="F42" s="59">
        <v>1</v>
      </c>
      <c r="G42" s="59">
        <v>1</v>
      </c>
      <c r="H42" s="59">
        <v>1</v>
      </c>
      <c r="I42" s="59">
        <v>1</v>
      </c>
      <c r="J42" s="59">
        <v>1</v>
      </c>
      <c r="K42" s="59">
        <v>1</v>
      </c>
      <c r="L42" s="59">
        <v>1</v>
      </c>
      <c r="M42" s="59">
        <v>1</v>
      </c>
      <c r="N42" s="59">
        <v>1</v>
      </c>
      <c r="O42" s="59">
        <v>1</v>
      </c>
    </row>
    <row r="43" spans="1:30">
      <c r="B43" t="s">
        <v>378</v>
      </c>
      <c r="C43" s="59">
        <v>1</v>
      </c>
      <c r="D43" s="59">
        <v>1</v>
      </c>
      <c r="E43" s="59">
        <v>1</v>
      </c>
      <c r="F43" s="59">
        <v>1</v>
      </c>
      <c r="G43" s="59">
        <v>1</v>
      </c>
      <c r="H43" s="59">
        <v>1</v>
      </c>
      <c r="I43" s="59">
        <v>1</v>
      </c>
      <c r="J43" s="59">
        <v>1</v>
      </c>
      <c r="K43" s="59">
        <v>1</v>
      </c>
      <c r="L43" s="59">
        <v>1</v>
      </c>
      <c r="M43" s="59">
        <v>1</v>
      </c>
      <c r="N43" s="59">
        <v>1</v>
      </c>
      <c r="O43" s="59">
        <v>1</v>
      </c>
    </row>
    <row r="44" spans="1:30">
      <c r="B44" t="s">
        <v>379</v>
      </c>
      <c r="C44" s="59">
        <v>1</v>
      </c>
      <c r="D44" s="59">
        <v>1</v>
      </c>
      <c r="E44" s="59">
        <v>1</v>
      </c>
      <c r="F44" s="59">
        <v>1</v>
      </c>
      <c r="G44" s="59">
        <v>1</v>
      </c>
      <c r="H44" s="59">
        <v>1</v>
      </c>
      <c r="I44" s="59">
        <v>1</v>
      </c>
      <c r="J44" s="59">
        <v>1</v>
      </c>
      <c r="K44" s="59">
        <v>1</v>
      </c>
      <c r="L44" s="59">
        <v>1</v>
      </c>
      <c r="M44" s="59">
        <v>1</v>
      </c>
      <c r="N44" s="59">
        <v>1</v>
      </c>
      <c r="O44" s="59">
        <v>1</v>
      </c>
    </row>
    <row r="45" spans="1:30" s="19" customFormat="1">
      <c r="A45"/>
      <c r="B45" t="s">
        <v>380</v>
      </c>
      <c r="C45" s="28">
        <v>1</v>
      </c>
      <c r="D45" s="28">
        <v>1</v>
      </c>
      <c r="E45" s="28">
        <v>0.75</v>
      </c>
      <c r="F45" s="28">
        <v>0.5</v>
      </c>
      <c r="G45" s="28">
        <v>0.5</v>
      </c>
      <c r="H45" s="28">
        <v>0.5</v>
      </c>
      <c r="I45" s="28">
        <v>0.5</v>
      </c>
      <c r="J45" s="28">
        <v>0.5</v>
      </c>
      <c r="K45" s="28">
        <v>0.5</v>
      </c>
      <c r="L45" s="28">
        <v>0.5</v>
      </c>
      <c r="M45" s="28">
        <v>0.5</v>
      </c>
      <c r="N45" s="28">
        <v>0.5</v>
      </c>
      <c r="O45" s="28">
        <v>0.5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>
      <c r="C46" s="60"/>
      <c r="D46" s="60"/>
      <c r="E46" s="236"/>
      <c r="F46" s="242"/>
      <c r="G46" s="60"/>
      <c r="H46" s="60"/>
      <c r="I46" s="60"/>
      <c r="J46" s="60"/>
      <c r="K46" s="60"/>
      <c r="L46" s="60"/>
      <c r="M46" s="60"/>
      <c r="N46" s="60"/>
      <c r="O46" s="60"/>
    </row>
    <row r="47" spans="1:30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30">
      <c r="A48" s="22" t="s">
        <v>388</v>
      </c>
      <c r="B48" s="32"/>
      <c r="C48" s="32"/>
      <c r="D48" s="32"/>
      <c r="E48" s="32"/>
      <c r="F48" s="223"/>
      <c r="G48" s="223"/>
      <c r="H48" s="223"/>
      <c r="I48" s="223"/>
      <c r="J48" s="223"/>
      <c r="K48" s="223"/>
      <c r="L48" s="223"/>
      <c r="M48" s="223"/>
      <c r="N48" s="223"/>
      <c r="O48" s="223"/>
    </row>
    <row r="49" spans="1:30">
      <c r="A49" s="1" t="s">
        <v>352</v>
      </c>
      <c r="B49" s="35" t="s">
        <v>370</v>
      </c>
      <c r="C49" s="61">
        <f t="shared" ref="C49:O49" si="32">(C21*C35)</f>
        <v>593.13300000000004</v>
      </c>
      <c r="D49" s="61">
        <f t="shared" si="32"/>
        <v>867.9169425287356</v>
      </c>
      <c r="E49" s="61">
        <f>(E21*E35)</f>
        <v>1162.2925499999999</v>
      </c>
      <c r="F49" s="61">
        <f>(F21*F35)</f>
        <v>1148.61852</v>
      </c>
      <c r="G49" s="61">
        <f t="shared" si="32"/>
        <v>1134.9444899999999</v>
      </c>
      <c r="H49" s="61">
        <f t="shared" si="32"/>
        <v>1121.27046</v>
      </c>
      <c r="I49" s="61">
        <f t="shared" si="32"/>
        <v>1107.5964300000001</v>
      </c>
      <c r="J49" s="61">
        <f t="shared" si="32"/>
        <v>1093.9224000000002</v>
      </c>
      <c r="K49" s="61">
        <f t="shared" si="32"/>
        <v>1066.5743400000001</v>
      </c>
      <c r="L49" s="61">
        <f t="shared" si="32"/>
        <v>1039.2262800000001</v>
      </c>
      <c r="M49" s="61">
        <f t="shared" si="32"/>
        <v>1011.8782200000001</v>
      </c>
      <c r="N49" s="61">
        <f t="shared" si="32"/>
        <v>984.53016000000002</v>
      </c>
      <c r="O49" s="61">
        <f t="shared" si="32"/>
        <v>957.18209999999999</v>
      </c>
    </row>
    <row r="50" spans="1:30">
      <c r="A50" s="1" t="s">
        <v>352</v>
      </c>
      <c r="B50" s="35" t="s">
        <v>371</v>
      </c>
      <c r="C50" s="61">
        <f t="shared" ref="C50:O50" si="33">(C22*C36)</f>
        <v>654.37487714399992</v>
      </c>
      <c r="D50" s="61">
        <f t="shared" si="33"/>
        <v>646.85332683199988</v>
      </c>
      <c r="E50" s="61">
        <f t="shared" si="33"/>
        <v>639.33177651999995</v>
      </c>
      <c r="F50" s="61">
        <f t="shared" si="33"/>
        <v>631.8102262079999</v>
      </c>
      <c r="G50" s="61">
        <f t="shared" si="33"/>
        <v>624.28867589599986</v>
      </c>
      <c r="H50" s="61">
        <f t="shared" si="33"/>
        <v>616.76712558399993</v>
      </c>
      <c r="I50" s="61">
        <f t="shared" si="33"/>
        <v>609.245575272</v>
      </c>
      <c r="J50" s="61">
        <f t="shared" si="33"/>
        <v>601.72402495999995</v>
      </c>
      <c r="K50" s="61">
        <f t="shared" si="33"/>
        <v>586.68092433599998</v>
      </c>
      <c r="L50" s="61">
        <f t="shared" si="33"/>
        <v>571.637823712</v>
      </c>
      <c r="M50" s="61">
        <f t="shared" si="33"/>
        <v>556.59472308799991</v>
      </c>
      <c r="N50" s="61">
        <f t="shared" si="33"/>
        <v>541.55162246399993</v>
      </c>
      <c r="O50" s="61">
        <f t="shared" si="33"/>
        <v>526.50852183999984</v>
      </c>
    </row>
    <row r="51" spans="1:30">
      <c r="A51" s="1" t="s">
        <v>247</v>
      </c>
      <c r="B51" s="35" t="s">
        <v>372</v>
      </c>
      <c r="C51" s="61">
        <f t="shared" ref="C51:O51" si="34">(C23*C37)</f>
        <v>1825.7309088150002</v>
      </c>
      <c r="D51" s="61">
        <f t="shared" si="34"/>
        <v>1588.1760365416001</v>
      </c>
      <c r="E51" s="61">
        <f t="shared" si="34"/>
        <v>1569.7088733260002</v>
      </c>
      <c r="F51" s="61">
        <f t="shared" si="34"/>
        <v>1339.7087496408001</v>
      </c>
      <c r="G51" s="61">
        <f t="shared" si="34"/>
        <v>1323.7598359546002</v>
      </c>
      <c r="H51" s="61">
        <f t="shared" si="34"/>
        <v>1307.8109222684002</v>
      </c>
      <c r="I51" s="61">
        <f t="shared" si="34"/>
        <v>1291.8620085822004</v>
      </c>
      <c r="J51" s="61">
        <f t="shared" si="34"/>
        <v>1275.9130948960003</v>
      </c>
      <c r="K51" s="61">
        <f t="shared" si="34"/>
        <v>1244.0152675236002</v>
      </c>
      <c r="L51" s="61">
        <f t="shared" si="34"/>
        <v>1212.1174401512003</v>
      </c>
      <c r="M51" s="61">
        <f t="shared" si="34"/>
        <v>1180.2196127788002</v>
      </c>
      <c r="N51" s="61">
        <f t="shared" si="34"/>
        <v>1148.3217854064003</v>
      </c>
      <c r="O51" s="61">
        <f t="shared" si="34"/>
        <v>1116.4239580340002</v>
      </c>
    </row>
    <row r="52" spans="1:30">
      <c r="A52" s="1" t="s">
        <v>247</v>
      </c>
      <c r="B52" s="35" t="s">
        <v>373</v>
      </c>
      <c r="C52" s="61">
        <f t="shared" ref="C52:O52" si="35">(C24*C38)</f>
        <v>988.76606413800005</v>
      </c>
      <c r="D52" s="61">
        <f t="shared" si="35"/>
        <v>488.70046848200002</v>
      </c>
      <c r="E52" s="61">
        <f t="shared" si="35"/>
        <v>483.01790489500002</v>
      </c>
      <c r="F52" s="61">
        <f>(F24*F38)</f>
        <v>954.67068261600002</v>
      </c>
      <c r="G52" s="61">
        <f t="shared" si="35"/>
        <v>943.30555544200001</v>
      </c>
      <c r="H52" s="61">
        <f t="shared" si="35"/>
        <v>465.970214134</v>
      </c>
      <c r="I52" s="61">
        <f t="shared" si="35"/>
        <v>460.28765054700006</v>
      </c>
      <c r="J52" s="61">
        <f t="shared" si="35"/>
        <v>0</v>
      </c>
      <c r="K52" s="61">
        <f t="shared" si="35"/>
        <v>0</v>
      </c>
      <c r="L52" s="61">
        <f t="shared" si="35"/>
        <v>0</v>
      </c>
      <c r="M52" s="61">
        <f t="shared" si="35"/>
        <v>0</v>
      </c>
      <c r="N52" s="61">
        <f t="shared" si="35"/>
        <v>0</v>
      </c>
      <c r="O52" s="61">
        <f t="shared" si="35"/>
        <v>0</v>
      </c>
    </row>
    <row r="53" spans="1:30">
      <c r="A53" s="1" t="s">
        <v>247</v>
      </c>
      <c r="B53" s="35" t="s">
        <v>374</v>
      </c>
      <c r="C53" s="61">
        <f t="shared" ref="C53:O53" si="36">(C25*C39)</f>
        <v>19.741015923000003</v>
      </c>
      <c r="D53" s="61">
        <f t="shared" si="36"/>
        <v>19.514107694000003</v>
      </c>
      <c r="E53" s="61">
        <f t="shared" si="36"/>
        <v>19.287199465000004</v>
      </c>
      <c r="F53" s="61">
        <f t="shared" si="36"/>
        <v>19.060291236000001</v>
      </c>
      <c r="G53" s="61">
        <f t="shared" si="36"/>
        <v>18.833383007000002</v>
      </c>
      <c r="H53" s="61">
        <f t="shared" si="36"/>
        <v>18.606474778000003</v>
      </c>
      <c r="I53" s="61">
        <f t="shared" si="36"/>
        <v>18.379566549000003</v>
      </c>
      <c r="J53" s="61">
        <f t="shared" si="36"/>
        <v>18.152658320000004</v>
      </c>
      <c r="K53" s="61">
        <f t="shared" si="36"/>
        <v>17.698841862000002</v>
      </c>
      <c r="L53" s="61">
        <f t="shared" si="36"/>
        <v>17.245025404000003</v>
      </c>
      <c r="M53" s="61">
        <f t="shared" si="36"/>
        <v>16.791208946000001</v>
      </c>
      <c r="N53" s="61">
        <f t="shared" si="36"/>
        <v>16.337392488000003</v>
      </c>
      <c r="O53" s="61">
        <f t="shared" si="36"/>
        <v>15.88357603</v>
      </c>
    </row>
    <row r="54" spans="1:30">
      <c r="A54" s="1" t="s">
        <v>247</v>
      </c>
      <c r="B54" s="35" t="s">
        <v>375</v>
      </c>
      <c r="C54" s="61">
        <f t="shared" ref="C54:O54" si="37">(C26*C40)</f>
        <v>331.15706761199999</v>
      </c>
      <c r="D54" s="61">
        <f t="shared" si="37"/>
        <v>327.35066453600001</v>
      </c>
      <c r="E54" s="61">
        <f t="shared" si="37"/>
        <v>323.54426145999997</v>
      </c>
      <c r="F54" s="61">
        <f t="shared" si="37"/>
        <v>319.73785838399999</v>
      </c>
      <c r="G54" s="61">
        <f t="shared" si="37"/>
        <v>315.93145530799995</v>
      </c>
      <c r="H54" s="61">
        <f t="shared" si="37"/>
        <v>312.12505223199997</v>
      </c>
      <c r="I54" s="61">
        <f t="shared" si="37"/>
        <v>308.31864915599999</v>
      </c>
      <c r="J54" s="61">
        <f t="shared" si="37"/>
        <v>304.51224608000001</v>
      </c>
      <c r="K54" s="61">
        <f t="shared" si="37"/>
        <v>296.89943992799999</v>
      </c>
      <c r="L54" s="61">
        <f t="shared" si="37"/>
        <v>289.28663377600003</v>
      </c>
      <c r="M54" s="61">
        <f t="shared" si="37"/>
        <v>281.67382762399995</v>
      </c>
      <c r="N54" s="61">
        <f t="shared" si="37"/>
        <v>274.06102147199999</v>
      </c>
      <c r="O54" s="61">
        <f t="shared" si="37"/>
        <v>266.44821531999997</v>
      </c>
    </row>
    <row r="55" spans="1:30">
      <c r="A55" s="1" t="s">
        <v>247</v>
      </c>
      <c r="B55" s="35" t="s">
        <v>376</v>
      </c>
      <c r="C55" s="61">
        <f t="shared" ref="C55:O55" si="38">(C27*C41)</f>
        <v>55.633066241999998</v>
      </c>
      <c r="D55" s="61">
        <f t="shared" si="38"/>
        <v>54.657047536000007</v>
      </c>
      <c r="E55" s="61">
        <f t="shared" si="38"/>
        <v>53.681028830000002</v>
      </c>
      <c r="F55" s="61">
        <f t="shared" si="38"/>
        <v>52.705010124000005</v>
      </c>
      <c r="G55" s="61">
        <f t="shared" si="38"/>
        <v>51.728991418000007</v>
      </c>
      <c r="H55" s="61">
        <f t="shared" si="38"/>
        <v>50.752972712000002</v>
      </c>
      <c r="I55" s="61">
        <f t="shared" si="38"/>
        <v>49.776954006000004</v>
      </c>
      <c r="J55" s="61">
        <f t="shared" si="38"/>
        <v>48.800935299999999</v>
      </c>
      <c r="K55" s="61">
        <f t="shared" si="38"/>
        <v>46.848897888000003</v>
      </c>
      <c r="L55" s="61">
        <f t="shared" si="38"/>
        <v>44.896860476000001</v>
      </c>
      <c r="M55" s="61">
        <f t="shared" si="38"/>
        <v>42.944823064000005</v>
      </c>
      <c r="N55" s="61">
        <f t="shared" si="38"/>
        <v>40.992785652000002</v>
      </c>
      <c r="O55" s="61">
        <f t="shared" si="38"/>
        <v>39.040748239999999</v>
      </c>
    </row>
    <row r="56" spans="1:30">
      <c r="A56" s="1" t="s">
        <v>247</v>
      </c>
      <c r="B56" s="35" t="s">
        <v>377</v>
      </c>
      <c r="C56" s="61">
        <f t="shared" ref="C56:O56" si="39">(C28*C42)</f>
        <v>50.345712440999996</v>
      </c>
      <c r="D56" s="61">
        <f t="shared" si="39"/>
        <v>49.462454328000007</v>
      </c>
      <c r="E56" s="61">
        <f t="shared" si="39"/>
        <v>48.579196215000003</v>
      </c>
      <c r="F56" s="61">
        <f t="shared" si="39"/>
        <v>47.695938102000007</v>
      </c>
      <c r="G56" s="61">
        <f t="shared" si="39"/>
        <v>46.812679989000003</v>
      </c>
      <c r="H56" s="61">
        <f t="shared" si="39"/>
        <v>45.929421875999999</v>
      </c>
      <c r="I56" s="61">
        <f t="shared" si="39"/>
        <v>45.046163763000003</v>
      </c>
      <c r="J56" s="61">
        <f t="shared" si="39"/>
        <v>44.162905649999999</v>
      </c>
      <c r="K56" s="61">
        <f t="shared" si="39"/>
        <v>42.396389423999999</v>
      </c>
      <c r="L56" s="61">
        <f t="shared" si="39"/>
        <v>40.629873197999999</v>
      </c>
      <c r="M56" s="61">
        <f t="shared" si="39"/>
        <v>0</v>
      </c>
      <c r="N56" s="61">
        <f t="shared" si="39"/>
        <v>0</v>
      </c>
      <c r="O56" s="61">
        <f t="shared" si="39"/>
        <v>0</v>
      </c>
    </row>
    <row r="57" spans="1:30">
      <c r="A57" s="1" t="s">
        <v>247</v>
      </c>
      <c r="B57" s="35" t="s">
        <v>378</v>
      </c>
      <c r="C57" s="61">
        <f t="shared" ref="C57:O57" si="40">(C29*C43)</f>
        <v>124.12974496799998</v>
      </c>
      <c r="D57" s="61">
        <f t="shared" si="40"/>
        <v>121.95203014400001</v>
      </c>
      <c r="E57" s="61">
        <f t="shared" si="40"/>
        <v>119.77431532</v>
      </c>
      <c r="F57" s="61">
        <f t="shared" si="40"/>
        <v>117.59660049600001</v>
      </c>
      <c r="G57" s="61">
        <f t="shared" si="40"/>
        <v>115.418885672</v>
      </c>
      <c r="H57" s="61">
        <f t="shared" si="40"/>
        <v>113.241170848</v>
      </c>
      <c r="I57" s="61">
        <f t="shared" si="40"/>
        <v>111.063456024</v>
      </c>
      <c r="J57" s="61">
        <f t="shared" si="40"/>
        <v>108.8857412</v>
      </c>
      <c r="K57" s="61">
        <f t="shared" si="40"/>
        <v>104.530311552</v>
      </c>
      <c r="L57" s="61">
        <f t="shared" si="40"/>
        <v>100.17488190399999</v>
      </c>
      <c r="M57" s="61">
        <f t="shared" si="40"/>
        <v>95.819452255999991</v>
      </c>
      <c r="N57" s="61">
        <f t="shared" si="40"/>
        <v>91.464022607999993</v>
      </c>
      <c r="O57" s="61">
        <f t="shared" si="40"/>
        <v>87.108592959999996</v>
      </c>
    </row>
    <row r="58" spans="1:30">
      <c r="A58" s="1" t="s">
        <v>247</v>
      </c>
      <c r="B58" s="35" t="s">
        <v>379</v>
      </c>
      <c r="C58" s="61">
        <f t="shared" ref="C58:O58" si="41">(C30*C44)</f>
        <v>160.92657929699996</v>
      </c>
      <c r="D58" s="61">
        <f t="shared" si="41"/>
        <v>158.103305976</v>
      </c>
      <c r="E58" s="61">
        <f t="shared" si="41"/>
        <v>155.28003265499999</v>
      </c>
      <c r="F58" s="61">
        <f t="shared" si="41"/>
        <v>152.456759334</v>
      </c>
      <c r="G58" s="61">
        <f t="shared" si="41"/>
        <v>149.63348601299998</v>
      </c>
      <c r="H58" s="61">
        <f t="shared" si="41"/>
        <v>146.81021269199996</v>
      </c>
      <c r="I58" s="61">
        <f t="shared" si="41"/>
        <v>143.98693937099998</v>
      </c>
      <c r="J58" s="61">
        <f t="shared" si="41"/>
        <v>141.16366604999999</v>
      </c>
      <c r="K58" s="61">
        <f t="shared" si="41"/>
        <v>135.51711940799999</v>
      </c>
      <c r="L58" s="61">
        <f t="shared" si="41"/>
        <v>129.87057276599998</v>
      </c>
      <c r="M58" s="61">
        <f t="shared" si="41"/>
        <v>124.22402612399998</v>
      </c>
      <c r="N58" s="61">
        <f t="shared" si="41"/>
        <v>118.57747948199999</v>
      </c>
      <c r="O58" s="61">
        <f t="shared" si="41"/>
        <v>112.93093283999998</v>
      </c>
    </row>
    <row r="59" spans="1:30">
      <c r="A59" s="1" t="s">
        <v>247</v>
      </c>
      <c r="B59" s="35" t="s">
        <v>380</v>
      </c>
      <c r="C59" s="61">
        <f t="shared" ref="C59:O59" si="42">(C31*C45)</f>
        <v>770.46672092699998</v>
      </c>
      <c r="D59" s="61">
        <f t="shared" si="42"/>
        <v>756.94976091073693</v>
      </c>
      <c r="E59" s="61">
        <f t="shared" si="42"/>
        <v>557.57460067085526</v>
      </c>
      <c r="F59" s="61">
        <f t="shared" si="42"/>
        <v>364.95792043910529</v>
      </c>
      <c r="G59" s="61">
        <f t="shared" si="42"/>
        <v>358.19944043097371</v>
      </c>
      <c r="H59" s="61">
        <f t="shared" si="42"/>
        <v>351.44096042284212</v>
      </c>
      <c r="I59" s="61">
        <f t="shared" si="42"/>
        <v>344.68248041471054</v>
      </c>
      <c r="J59" s="61">
        <f t="shared" si="42"/>
        <v>337.92400040657895</v>
      </c>
      <c r="K59" s="61">
        <f t="shared" si="42"/>
        <v>324.40704039031579</v>
      </c>
      <c r="L59" s="61">
        <f t="shared" si="42"/>
        <v>310.89008037405267</v>
      </c>
      <c r="M59" s="61">
        <f t="shared" si="42"/>
        <v>297.3731203577895</v>
      </c>
      <c r="N59" s="61">
        <f t="shared" si="42"/>
        <v>283.85616034152633</v>
      </c>
      <c r="O59" s="61">
        <f t="shared" si="42"/>
        <v>270.33920032526316</v>
      </c>
    </row>
    <row r="60" spans="1:30" ht="17.100000000000001" customHeight="1">
      <c r="A60" s="1"/>
      <c r="B60" s="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30" ht="17.100000000000001" customHeight="1">
      <c r="A61" s="1"/>
      <c r="B61" s="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30" s="65" customFormat="1" ht="18.75">
      <c r="A62" s="63" t="s">
        <v>389</v>
      </c>
      <c r="B62" s="64"/>
      <c r="C62" s="407">
        <f t="shared" ref="C62:O62" si="43">SUM(C49:C59)</f>
        <v>5574.404757506999</v>
      </c>
      <c r="D62" s="407">
        <f>SUM(D49:D59)</f>
        <v>5079.6361455090719</v>
      </c>
      <c r="E62" s="407">
        <f t="shared" si="43"/>
        <v>5132.0717393568539</v>
      </c>
      <c r="F62" s="407">
        <f t="shared" si="43"/>
        <v>5149.0185565799056</v>
      </c>
      <c r="G62" s="407">
        <f t="shared" si="43"/>
        <v>5082.8568791305734</v>
      </c>
      <c r="H62" s="407">
        <f t="shared" si="43"/>
        <v>4550.7249875472426</v>
      </c>
      <c r="I62" s="407">
        <f t="shared" si="43"/>
        <v>4490.2458736849112</v>
      </c>
      <c r="J62" s="407">
        <f t="shared" si="43"/>
        <v>3975.16167286258</v>
      </c>
      <c r="K62" s="407">
        <f t="shared" si="43"/>
        <v>3865.5685723119154</v>
      </c>
      <c r="L62" s="407">
        <f t="shared" si="43"/>
        <v>3755.9754717612527</v>
      </c>
      <c r="M62" s="407">
        <f t="shared" si="43"/>
        <v>3607.5190142385895</v>
      </c>
      <c r="N62" s="407">
        <f t="shared" si="43"/>
        <v>3499.6924299139268</v>
      </c>
      <c r="O62" s="407">
        <f t="shared" si="43"/>
        <v>3391.8658455892628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65" customFormat="1" ht="18.75">
      <c r="A63" s="127" t="s">
        <v>106</v>
      </c>
      <c r="B63" s="128"/>
      <c r="C63" s="408">
        <f t="shared" ref="C63:O63" si="44">C62/1000</f>
        <v>5.5744047575069988</v>
      </c>
      <c r="D63" s="409">
        <f t="shared" si="44"/>
        <v>5.0796361455090722</v>
      </c>
      <c r="E63" s="409">
        <f t="shared" si="44"/>
        <v>5.1320717393568538</v>
      </c>
      <c r="F63" s="409">
        <f>F62/1000</f>
        <v>5.1490185565799056</v>
      </c>
      <c r="G63" s="409">
        <f t="shared" si="44"/>
        <v>5.0828568791305733</v>
      </c>
      <c r="H63" s="409">
        <f t="shared" si="44"/>
        <v>4.5507249875472429</v>
      </c>
      <c r="I63" s="409">
        <f t="shared" si="44"/>
        <v>4.4902458736849109</v>
      </c>
      <c r="J63" s="409">
        <f t="shared" si="44"/>
        <v>3.9751616728625798</v>
      </c>
      <c r="K63" s="409">
        <f t="shared" si="44"/>
        <v>3.8655685723119153</v>
      </c>
      <c r="L63" s="409">
        <f t="shared" si="44"/>
        <v>3.7559754717612526</v>
      </c>
      <c r="M63" s="409">
        <f t="shared" si="44"/>
        <v>3.6075190142385893</v>
      </c>
      <c r="N63" s="409">
        <f t="shared" si="44"/>
        <v>3.4996924299139267</v>
      </c>
      <c r="O63" s="409">
        <f t="shared" si="44"/>
        <v>3.3918658455892627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s="65" customFormat="1" ht="18.75">
      <c r="A64" s="116"/>
      <c r="C64" s="129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461" customFormat="1" ht="18.75" customHeight="1">
      <c r="A65" s="460" t="s">
        <v>390</v>
      </c>
      <c r="C65" s="462"/>
      <c r="D65" s="463"/>
      <c r="E65" s="463"/>
      <c r="F65" s="463"/>
      <c r="G65" s="463"/>
      <c r="H65" s="463"/>
      <c r="I65" s="463"/>
      <c r="J65" s="463"/>
      <c r="K65" s="463"/>
      <c r="L65" s="463"/>
      <c r="M65" s="463"/>
      <c r="N65" s="463"/>
      <c r="O65" s="463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8.75" customHeight="1">
      <c r="B66" s="1" t="s">
        <v>391</v>
      </c>
      <c r="D66" s="474">
        <f>'Current NZ ETS settings'!C9</f>
        <v>6.1</v>
      </c>
      <c r="E66" s="474">
        <f>'Current NZ ETS settings'!D9</f>
        <v>6</v>
      </c>
      <c r="F66" s="474">
        <f>'Current NZ ETS settings'!E9</f>
        <v>5.7</v>
      </c>
      <c r="G66" s="474">
        <f>'Current NZ ETS settings'!F9</f>
        <v>5.7</v>
      </c>
      <c r="H66" s="474">
        <f>'Current NZ ETS settings'!G9</f>
        <v>5.6</v>
      </c>
      <c r="I66" s="474">
        <f>'Current NZ ETS settings'!H9</f>
        <v>5.5</v>
      </c>
      <c r="J66" s="474">
        <f>'Current NZ ETS settings'!I9</f>
        <v>5.0999999999999996</v>
      </c>
      <c r="K66" s="474">
        <f>'Current NZ ETS settings'!J9</f>
        <v>4.9000000000000004</v>
      </c>
      <c r="L66" s="474">
        <f>'Current NZ ETS settings'!K9</f>
        <v>4.8</v>
      </c>
      <c r="M66" s="474">
        <f>'Current NZ ETS settings'!L9</f>
        <v>4.7</v>
      </c>
      <c r="N66" s="474">
        <f>'Current NZ ETS settings'!M9</f>
        <v>4.5</v>
      </c>
      <c r="O66" s="474">
        <f>'Current NZ ETS settings'!N9</f>
        <v>4.4000000000000004</v>
      </c>
    </row>
    <row r="67" spans="1:30" s="126" customFormat="1" ht="18.75" customHeight="1">
      <c r="C67" s="126" t="s">
        <v>199</v>
      </c>
      <c r="D67" s="126">
        <f>D63-D66</f>
        <v>-1.0203638544909275</v>
      </c>
      <c r="E67" s="126">
        <f t="shared" ref="E67:O67" si="45">E63-E66</f>
        <v>-0.86792826064314621</v>
      </c>
      <c r="F67" s="126">
        <f t="shared" si="45"/>
        <v>-0.55098144342009459</v>
      </c>
      <c r="G67" s="126">
        <f t="shared" si="45"/>
        <v>-0.61714312086942691</v>
      </c>
      <c r="H67" s="126">
        <f t="shared" si="45"/>
        <v>-1.0492750124527568</v>
      </c>
      <c r="I67" s="126">
        <f t="shared" si="45"/>
        <v>-1.0097541263150891</v>
      </c>
      <c r="J67" s="126">
        <f t="shared" si="45"/>
        <v>-1.1248383271374198</v>
      </c>
      <c r="K67" s="126">
        <f t="shared" si="45"/>
        <v>-1.034431427688085</v>
      </c>
      <c r="L67" s="126">
        <f t="shared" si="45"/>
        <v>-1.0440245282387473</v>
      </c>
      <c r="M67" s="126">
        <f t="shared" si="45"/>
        <v>-1.0924809857614108</v>
      </c>
      <c r="N67" s="126">
        <f t="shared" si="45"/>
        <v>-1.0003075700860733</v>
      </c>
      <c r="O67" s="126">
        <f t="shared" si="45"/>
        <v>-1.0081341544107376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ht="18.75" customHeight="1">
      <c r="C68" t="s">
        <v>392</v>
      </c>
      <c r="D68" s="475">
        <f t="shared" ref="D68:O68" si="46">D67/D66</f>
        <v>-0.16727276303129959</v>
      </c>
      <c r="E68" s="475">
        <f t="shared" si="46"/>
        <v>-0.14465471010719103</v>
      </c>
      <c r="F68" s="475">
        <f t="shared" si="46"/>
        <v>-9.666341112633238E-2</v>
      </c>
      <c r="G68" s="475">
        <f t="shared" si="46"/>
        <v>-0.10827072295954858</v>
      </c>
      <c r="H68" s="475">
        <f t="shared" si="46"/>
        <v>-0.1873705379379923</v>
      </c>
      <c r="I68" s="475">
        <f t="shared" si="46"/>
        <v>-0.1835916593300162</v>
      </c>
      <c r="J68" s="475">
        <f t="shared" si="46"/>
        <v>-0.22055653473282744</v>
      </c>
      <c r="K68" s="475">
        <f t="shared" si="46"/>
        <v>-0.21110845463022143</v>
      </c>
      <c r="L68" s="475">
        <f t="shared" si="46"/>
        <v>-0.21750511004973902</v>
      </c>
      <c r="M68" s="475">
        <f t="shared" si="46"/>
        <v>-0.23244276292795973</v>
      </c>
      <c r="N68" s="475">
        <f t="shared" si="46"/>
        <v>-0.22229057113023851</v>
      </c>
      <c r="O68" s="475">
        <f t="shared" si="46"/>
        <v>-0.22912139872971307</v>
      </c>
    </row>
    <row r="69" spans="1:30">
      <c r="D69" s="52"/>
      <c r="F69" s="18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1:30">
      <c r="C70" s="476"/>
      <c r="F70" s="18"/>
      <c r="G70" s="164"/>
      <c r="H70" s="164"/>
      <c r="I70" s="164"/>
      <c r="J70" s="164"/>
      <c r="K70" s="164"/>
      <c r="L70" s="164"/>
      <c r="M70" s="164"/>
      <c r="N70" s="164"/>
      <c r="O70" s="164"/>
    </row>
    <row r="71" spans="1:30" ht="18" customHeight="1">
      <c r="B71" s="410" t="s">
        <v>393</v>
      </c>
      <c r="D71" s="477">
        <v>5.8730437023593476</v>
      </c>
      <c r="E71" s="477">
        <v>5.5731141825855746</v>
      </c>
      <c r="F71" s="477">
        <v>5.2882828586738695</v>
      </c>
      <c r="G71" s="477">
        <v>5.2213145163713612</v>
      </c>
      <c r="H71" s="477">
        <v>4.7075474959079324</v>
      </c>
      <c r="I71" s="477">
        <v>4.6460279179732398</v>
      </c>
      <c r="J71" s="477">
        <v>4.1486071906132613</v>
      </c>
      <c r="K71" s="477">
        <v>4.036465563479509</v>
      </c>
      <c r="L71" s="477">
        <v>3.9243239363457554</v>
      </c>
      <c r="M71" s="477">
        <v>3.8121823092120035</v>
      </c>
      <c r="N71" s="477">
        <v>3.7000406820782508</v>
      </c>
      <c r="O71" s="477">
        <v>3.587899054944498</v>
      </c>
    </row>
    <row r="72" spans="1:30">
      <c r="C72" t="s">
        <v>199</v>
      </c>
      <c r="D72" s="447">
        <f>D63-D71</f>
        <v>-0.79340755685027542</v>
      </c>
      <c r="E72" s="447">
        <f t="shared" ref="E72:O72" si="47">E63-E71</f>
        <v>-0.44104244322872077</v>
      </c>
      <c r="F72" s="447">
        <f t="shared" si="47"/>
        <v>-0.1392643020939639</v>
      </c>
      <c r="G72" s="447">
        <f t="shared" si="47"/>
        <v>-0.13845763724078797</v>
      </c>
      <c r="H72" s="447">
        <f t="shared" si="47"/>
        <v>-0.15682250836068956</v>
      </c>
      <c r="I72" s="447">
        <f t="shared" si="47"/>
        <v>-0.15578204428832887</v>
      </c>
      <c r="J72" s="447">
        <f t="shared" si="47"/>
        <v>-0.17344551775068151</v>
      </c>
      <c r="K72" s="447">
        <f t="shared" si="47"/>
        <v>-0.17089699116759371</v>
      </c>
      <c r="L72" s="447">
        <f t="shared" si="47"/>
        <v>-0.16834846458450281</v>
      </c>
      <c r="M72" s="447">
        <f t="shared" si="47"/>
        <v>-0.20466329497341418</v>
      </c>
      <c r="N72" s="447">
        <f t="shared" si="47"/>
        <v>-0.20034825216432406</v>
      </c>
      <c r="O72" s="447">
        <f t="shared" si="47"/>
        <v>-0.19603320935523527</v>
      </c>
    </row>
    <row r="73" spans="1:30">
      <c r="C73" t="s">
        <v>392</v>
      </c>
      <c r="D73" s="475">
        <f>D72/D63</f>
        <v>-0.15619377729480297</v>
      </c>
      <c r="E73" s="475">
        <f t="shared" ref="E73:O73" si="48">E72/E63</f>
        <v>-8.5938479746191496E-2</v>
      </c>
      <c r="F73" s="475">
        <f t="shared" si="48"/>
        <v>-2.7046766400948143E-2</v>
      </c>
      <c r="G73" s="475">
        <f t="shared" si="48"/>
        <v>-2.7240121162819611E-2</v>
      </c>
      <c r="H73" s="475">
        <f t="shared" si="48"/>
        <v>-3.4460994410742012E-2</v>
      </c>
      <c r="I73" s="475">
        <f t="shared" si="48"/>
        <v>-3.4693432981318384E-2</v>
      </c>
      <c r="J73" s="475">
        <f t="shared" si="48"/>
        <v>-4.3632317884012131E-2</v>
      </c>
      <c r="K73" s="475">
        <f t="shared" si="48"/>
        <v>-4.4210052925120875E-2</v>
      </c>
      <c r="L73" s="475">
        <f t="shared" si="48"/>
        <v>-4.482150265628887E-2</v>
      </c>
      <c r="M73" s="475">
        <f t="shared" si="48"/>
        <v>-5.6732423076808328E-2</v>
      </c>
      <c r="N73" s="475">
        <f t="shared" si="48"/>
        <v>-5.7247388499580672E-2</v>
      </c>
      <c r="O73" s="475">
        <f t="shared" si="48"/>
        <v>-5.7795095171630756E-2</v>
      </c>
    </row>
    <row r="74" spans="1:30">
      <c r="D74" s="9"/>
      <c r="E74" s="9"/>
      <c r="F74" s="9"/>
      <c r="G74" s="9"/>
      <c r="H74" s="9"/>
      <c r="I74" s="9"/>
    </row>
    <row r="75" spans="1:30"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30"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</row>
    <row r="77" spans="1:30">
      <c r="J77" s="9"/>
    </row>
    <row r="78" spans="1:30">
      <c r="C78" s="33"/>
      <c r="D78" s="33"/>
      <c r="E78" s="33"/>
      <c r="F78" s="33"/>
      <c r="G78" s="33"/>
      <c r="H78" s="33"/>
      <c r="I78" s="33"/>
      <c r="J78" s="125"/>
      <c r="K78" s="33"/>
      <c r="L78" s="33"/>
      <c r="M78" s="33"/>
      <c r="N78" s="33"/>
      <c r="O78" s="33"/>
    </row>
    <row r="79" spans="1:30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30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2:15">
      <c r="B81" s="51"/>
      <c r="C81" s="51"/>
      <c r="D81" s="51"/>
      <c r="E81" s="309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2:15">
      <c r="B82" s="51"/>
      <c r="C82" s="51"/>
      <c r="D82" s="51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</row>
    <row r="83" spans="2:15"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2:15"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2:15"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2:15">
      <c r="C86" s="52"/>
      <c r="D86" s="52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2:15">
      <c r="C87" s="52"/>
      <c r="D87" s="52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2:15">
      <c r="C88" s="52"/>
      <c r="D88" s="52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2:15">
      <c r="C89" s="52"/>
      <c r="D89" s="52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2:15">
      <c r="C90" s="52"/>
      <c r="D90" s="52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2:15">
      <c r="C91" s="52"/>
      <c r="D91" s="52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6" spans="2:15">
      <c r="D96" s="27"/>
    </row>
    <row r="97" spans="4:4">
      <c r="D97" s="27"/>
    </row>
    <row r="98" spans="4:4">
      <c r="D98" s="23"/>
    </row>
  </sheetData>
  <dataConsolidate/>
  <phoneticPr fontId="5" type="noConversion"/>
  <pageMargins left="0.7" right="0.7" top="0.75" bottom="0.75" header="0.3" footer="0.3"/>
  <pageSetup paperSize="9" orientation="portrait" r:id="rId1"/>
  <headerFooter>
    <oddHeader>&amp;C&amp;"Calibri"&amp;10&amp;K000000 [SENSITIVE]&amp;1#_x000D_</oddHeader>
    <oddFooter>&amp;C_x000D_&amp;1#&amp;"Calibri"&amp;10&amp;K000000 [SENSITIVE]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23ED-BBE7-4DAE-8B96-31F6363B0B71}">
  <sheetPr>
    <tabColor rgb="FFFF99FF"/>
  </sheetPr>
  <dimension ref="A1:AI222"/>
  <sheetViews>
    <sheetView tabSelected="1" zoomScale="55" zoomScaleNormal="55" workbookViewId="0"/>
  </sheetViews>
  <sheetFormatPr defaultRowHeight="15"/>
  <cols>
    <col min="1" max="1" width="54.140625" customWidth="1"/>
    <col min="2" max="2" width="25" customWidth="1"/>
    <col min="3" max="3" width="22.5703125" customWidth="1"/>
    <col min="4" max="4" width="17.42578125" customWidth="1"/>
    <col min="5" max="5" width="14.7109375" customWidth="1"/>
    <col min="6" max="11" width="19.42578125" customWidth="1"/>
    <col min="12" max="14" width="16.140625" customWidth="1"/>
    <col min="15" max="15" width="17.5703125" customWidth="1"/>
    <col min="16" max="22" width="13.42578125" customWidth="1"/>
  </cols>
  <sheetData>
    <row r="1" spans="1:11" s="1" customFormat="1">
      <c r="A1" s="1" t="s">
        <v>394</v>
      </c>
    </row>
    <row r="2" spans="1:11" s="1" customFormat="1">
      <c r="A2" s="1" t="s">
        <v>395</v>
      </c>
    </row>
    <row r="3" spans="1:11" s="20" customFormat="1">
      <c r="A3" s="31" t="s">
        <v>396</v>
      </c>
      <c r="C3" s="31"/>
      <c r="D3" s="31"/>
      <c r="E3" s="31"/>
    </row>
    <row r="4" spans="1:11">
      <c r="C4" s="1"/>
      <c r="D4" s="1"/>
      <c r="E4" s="1"/>
    </row>
    <row r="5" spans="1:11">
      <c r="B5" s="1" t="s">
        <v>229</v>
      </c>
      <c r="C5" s="1" t="s">
        <v>230</v>
      </c>
      <c r="D5" s="1" t="s">
        <v>231</v>
      </c>
      <c r="F5" s="1" t="s">
        <v>397</v>
      </c>
      <c r="G5" s="1"/>
      <c r="H5" s="1"/>
    </row>
    <row r="6" spans="1:11">
      <c r="A6" s="1" t="s">
        <v>398</v>
      </c>
      <c r="B6" s="741">
        <f>'Total unit holdings'!G17/1000</f>
        <v>150388.55100000001</v>
      </c>
      <c r="C6" s="741"/>
      <c r="D6" s="741"/>
      <c r="F6" s="1"/>
    </row>
    <row r="7" spans="1:11">
      <c r="A7" s="390" t="s">
        <v>399</v>
      </c>
      <c r="B7" s="171">
        <f ca="1">I45</f>
        <v>9067.0329450683585</v>
      </c>
      <c r="C7" s="171">
        <f ca="1">I40</f>
        <v>5555.7429749950597</v>
      </c>
      <c r="D7" s="171">
        <f ca="1">I50</f>
        <v>3369.6675085779552</v>
      </c>
      <c r="F7" s="176">
        <f t="shared" ref="F7:F12" ca="1" si="0">D7-B7</f>
        <v>-5697.3654364904032</v>
      </c>
      <c r="G7" s="34"/>
      <c r="H7" s="34"/>
    </row>
    <row r="8" spans="1:11">
      <c r="A8" s="390" t="s">
        <v>400</v>
      </c>
      <c r="B8" s="171">
        <f>'P89 units held for harvest'!E41</f>
        <v>63463.833375191563</v>
      </c>
      <c r="C8" s="171">
        <f>'P89 units held for harvest'!E23</f>
        <v>53097.609916714158</v>
      </c>
      <c r="D8" s="171">
        <f>'P89 units held for harvest'!E58</f>
        <v>43653.273822506206</v>
      </c>
      <c r="F8" s="176">
        <f t="shared" si="0"/>
        <v>-19810.559552685358</v>
      </c>
      <c r="G8" s="34"/>
      <c r="H8" s="34"/>
    </row>
    <row r="9" spans="1:11">
      <c r="A9" s="390" t="s">
        <v>401</v>
      </c>
      <c r="B9" s="341">
        <f>I44</f>
        <v>21508.686750946432</v>
      </c>
      <c r="C9" s="341">
        <f>I39</f>
        <v>17366.288382237326</v>
      </c>
      <c r="D9" s="341">
        <f>I49</f>
        <v>13262.465838576818</v>
      </c>
      <c r="F9" s="176">
        <f t="shared" si="0"/>
        <v>-8246.2209123696139</v>
      </c>
      <c r="G9" s="34"/>
      <c r="H9" s="34"/>
    </row>
    <row r="10" spans="1:11">
      <c r="A10" t="s">
        <v>402</v>
      </c>
      <c r="B10" s="341">
        <f>$C$37</f>
        <v>34237.271994281757</v>
      </c>
      <c r="C10" s="341">
        <f>$C$37</f>
        <v>34237.271994281757</v>
      </c>
      <c r="D10" s="341">
        <f>$C$37</f>
        <v>34237.271994281757</v>
      </c>
      <c r="F10" s="176">
        <f t="shared" si="0"/>
        <v>0</v>
      </c>
      <c r="G10" s="34"/>
      <c r="H10" s="34"/>
    </row>
    <row r="11" spans="1:11">
      <c r="A11" s="115" t="s">
        <v>403</v>
      </c>
      <c r="B11" s="88">
        <f>'P89 MERP4 additional surplus'!C12</f>
        <v>6301.0879852307698</v>
      </c>
      <c r="C11" s="88">
        <f>'P89 MERP4 additional surplus'!B12</f>
        <v>10027.269432362107</v>
      </c>
      <c r="D11" s="88">
        <f>'P89 MERP4 additional surplus'!D12</f>
        <v>11845.605449015344</v>
      </c>
      <c r="F11" s="176">
        <f t="shared" si="0"/>
        <v>5544.5174637845739</v>
      </c>
      <c r="G11" s="34"/>
      <c r="H11" s="34"/>
    </row>
    <row r="12" spans="1:11">
      <c r="A12" s="1" t="s">
        <v>404</v>
      </c>
      <c r="B12" s="176">
        <f ca="1">$B$6-B8-B7-B10-B9+B11</f>
        <v>28412.813919742661</v>
      </c>
      <c r="C12" s="176">
        <f ca="1">$B$6-C8-C7-C10-C9+C11</f>
        <v>50158.907164133809</v>
      </c>
      <c r="D12" s="176">
        <f ca="1">$B$6-D8-D7-D10-D9+D11</f>
        <v>67711.477285072615</v>
      </c>
      <c r="F12" s="176">
        <f t="shared" ca="1" si="0"/>
        <v>39298.66336532995</v>
      </c>
      <c r="G12" s="34"/>
      <c r="H12" s="34"/>
    </row>
    <row r="13" spans="1:11">
      <c r="B13" s="7"/>
      <c r="C13" s="7"/>
      <c r="D13" s="7"/>
      <c r="F13" s="11"/>
      <c r="G13" s="34"/>
      <c r="H13" s="34"/>
    </row>
    <row r="14" spans="1:11">
      <c r="B14" s="5"/>
      <c r="C14" s="5"/>
      <c r="D14" s="5"/>
      <c r="F14" s="176"/>
      <c r="G14" s="34"/>
      <c r="H14" s="34"/>
    </row>
    <row r="15" spans="1:11">
      <c r="B15" s="5"/>
      <c r="C15" s="5"/>
      <c r="D15" s="5"/>
      <c r="F15" s="176"/>
      <c r="G15" s="34"/>
      <c r="H15" s="34"/>
      <c r="I15" s="88"/>
      <c r="K15" s="5"/>
    </row>
    <row r="16" spans="1:11">
      <c r="B16" s="5"/>
      <c r="C16" s="5"/>
      <c r="D16" s="5"/>
      <c r="F16" s="176"/>
      <c r="G16" s="34"/>
      <c r="H16" s="34"/>
      <c r="I16" s="439"/>
      <c r="K16" s="5"/>
    </row>
    <row r="17" spans="1:22" s="42" customFormat="1" ht="15.75" thickBot="1">
      <c r="A17" s="42" t="s">
        <v>405</v>
      </c>
    </row>
    <row r="18" spans="1:22">
      <c r="A18" s="1"/>
      <c r="B18" s="481" t="s">
        <v>406</v>
      </c>
      <c r="C18" s="483"/>
      <c r="D18" s="483"/>
      <c r="E18" s="484"/>
      <c r="G18" s="481" t="s">
        <v>407</v>
      </c>
      <c r="H18" s="482"/>
      <c r="I18" s="482"/>
      <c r="J18" s="226"/>
      <c r="L18" s="481" t="s">
        <v>408</v>
      </c>
      <c r="M18" s="482"/>
      <c r="N18" s="482"/>
      <c r="O18" s="226"/>
    </row>
    <row r="19" spans="1:22">
      <c r="B19" s="490" t="s">
        <v>229</v>
      </c>
      <c r="C19" s="1" t="s">
        <v>230</v>
      </c>
      <c r="D19" s="1" t="s">
        <v>231</v>
      </c>
      <c r="E19" s="486" t="s">
        <v>397</v>
      </c>
      <c r="F19" s="1"/>
      <c r="G19" s="490" t="s">
        <v>229</v>
      </c>
      <c r="H19" s="1" t="s">
        <v>230</v>
      </c>
      <c r="I19" s="1" t="s">
        <v>231</v>
      </c>
      <c r="J19" s="486" t="s">
        <v>397</v>
      </c>
      <c r="L19" s="490" t="s">
        <v>229</v>
      </c>
      <c r="M19" s="1" t="s">
        <v>230</v>
      </c>
      <c r="N19" s="1" t="s">
        <v>231</v>
      </c>
      <c r="O19" s="486" t="s">
        <v>397</v>
      </c>
    </row>
    <row r="20" spans="1:22">
      <c r="A20" s="121" t="s">
        <v>409</v>
      </c>
      <c r="B20" s="742">
        <v>160800</v>
      </c>
      <c r="C20" s="743"/>
      <c r="D20" s="743"/>
      <c r="E20" s="487"/>
      <c r="F20" s="1"/>
      <c r="G20" s="744">
        <v>160000</v>
      </c>
      <c r="H20" s="741"/>
      <c r="I20" s="741"/>
      <c r="J20" s="487"/>
      <c r="L20" s="742">
        <v>160000</v>
      </c>
      <c r="M20" s="743"/>
      <c r="N20" s="743"/>
      <c r="O20" s="487"/>
      <c r="V20" s="88"/>
    </row>
    <row r="21" spans="1:22">
      <c r="A21" s="189" t="s">
        <v>400</v>
      </c>
      <c r="B21" s="492">
        <v>65000</v>
      </c>
      <c r="C21" s="488">
        <v>58000</v>
      </c>
      <c r="D21" s="488">
        <v>51000</v>
      </c>
      <c r="E21" s="489">
        <f>D21-B21</f>
        <v>-14000</v>
      </c>
      <c r="F21" s="1"/>
      <c r="G21" s="491">
        <v>65000</v>
      </c>
      <c r="H21" s="5">
        <v>58000</v>
      </c>
      <c r="I21" s="5">
        <v>51000</v>
      </c>
      <c r="J21" s="489">
        <f>I21-G21</f>
        <v>-14000</v>
      </c>
      <c r="L21" s="491">
        <v>72000</v>
      </c>
      <c r="M21" s="488">
        <v>66800</v>
      </c>
      <c r="N21" s="488">
        <v>64200</v>
      </c>
      <c r="O21" s="489">
        <f>N21-L21</f>
        <v>-7800</v>
      </c>
      <c r="V21" s="88"/>
    </row>
    <row r="22" spans="1:22">
      <c r="A22" s="189" t="s">
        <v>410</v>
      </c>
      <c r="B22" s="492">
        <v>8100</v>
      </c>
      <c r="C22" s="488">
        <v>6600</v>
      </c>
      <c r="D22" s="488">
        <v>5700</v>
      </c>
      <c r="E22" s="489">
        <f>D22-B22</f>
        <v>-2400</v>
      </c>
      <c r="F22" s="1"/>
      <c r="G22" s="491">
        <v>12500</v>
      </c>
      <c r="H22" s="5">
        <v>7000</v>
      </c>
      <c r="I22" s="5">
        <v>3900</v>
      </c>
      <c r="J22" s="489">
        <f>I22-G22</f>
        <v>-8600</v>
      </c>
      <c r="L22" s="491">
        <v>12500</v>
      </c>
      <c r="M22" s="488">
        <v>7000</v>
      </c>
      <c r="N22" s="488">
        <v>3900</v>
      </c>
      <c r="O22" s="489">
        <f t="shared" ref="O22" si="1">N22-L22</f>
        <v>-8600</v>
      </c>
      <c r="V22" s="524"/>
    </row>
    <row r="23" spans="1:22">
      <c r="A23" s="189" t="s">
        <v>411</v>
      </c>
      <c r="B23" s="492" t="s">
        <v>412</v>
      </c>
      <c r="C23" s="341" t="s">
        <v>412</v>
      </c>
      <c r="D23" s="341" t="s">
        <v>412</v>
      </c>
      <c r="E23" s="489"/>
      <c r="F23" s="1"/>
      <c r="G23" s="492" t="s">
        <v>413</v>
      </c>
      <c r="H23" s="341" t="s">
        <v>413</v>
      </c>
      <c r="I23" s="341" t="s">
        <v>413</v>
      </c>
      <c r="J23" s="493" t="s">
        <v>413</v>
      </c>
      <c r="L23" s="491">
        <v>9800</v>
      </c>
      <c r="M23" s="488">
        <v>9800</v>
      </c>
      <c r="N23" s="488">
        <v>9800</v>
      </c>
      <c r="O23" s="489">
        <f>N23-L23</f>
        <v>0</v>
      </c>
      <c r="V23" s="229"/>
    </row>
    <row r="24" spans="1:22">
      <c r="A24" s="189" t="s">
        <v>414</v>
      </c>
      <c r="B24" s="492">
        <v>36600</v>
      </c>
      <c r="C24" s="488">
        <v>28300</v>
      </c>
      <c r="D24" s="488">
        <v>19800</v>
      </c>
      <c r="E24" s="489">
        <f t="shared" ref="E24:E25" si="2">D24-B24</f>
        <v>-16800</v>
      </c>
      <c r="F24" s="1"/>
      <c r="G24" s="485">
        <v>35700</v>
      </c>
      <c r="H24" s="5">
        <v>27700</v>
      </c>
      <c r="I24">
        <v>19400</v>
      </c>
      <c r="J24" s="489">
        <f t="shared" ref="J24:J25" si="3">I24-G24</f>
        <v>-16300</v>
      </c>
      <c r="L24" s="491">
        <v>30000</v>
      </c>
      <c r="M24" s="488">
        <v>23900</v>
      </c>
      <c r="N24" s="488">
        <v>17500</v>
      </c>
      <c r="O24" s="489">
        <f>N24-L24</f>
        <v>-12500</v>
      </c>
      <c r="V24" s="525"/>
    </row>
    <row r="25" spans="1:22">
      <c r="A25" s="121" t="s">
        <v>404</v>
      </c>
      <c r="B25" s="495">
        <f>$B$20-SUM(B21:B24)</f>
        <v>51100</v>
      </c>
      <c r="C25" s="93">
        <f>$B$20-SUM(C21:C24)</f>
        <v>67900</v>
      </c>
      <c r="D25" s="93">
        <f>$B$20-SUM(D21:D24)</f>
        <v>84300</v>
      </c>
      <c r="E25" s="489">
        <f t="shared" si="2"/>
        <v>33200</v>
      </c>
      <c r="F25" s="1"/>
      <c r="G25" s="492">
        <f>$G$20-G21-G22-G24</f>
        <v>46800</v>
      </c>
      <c r="H25" s="341">
        <f t="shared" ref="H25:I25" si="4">$G$20-H21-H22-H24</f>
        <v>67300</v>
      </c>
      <c r="I25" s="341">
        <f t="shared" si="4"/>
        <v>85700</v>
      </c>
      <c r="J25" s="489">
        <f t="shared" si="3"/>
        <v>38900</v>
      </c>
      <c r="L25" s="492">
        <f>$L$20-SUM(L21:L24)</f>
        <v>35700</v>
      </c>
      <c r="M25" s="341">
        <f>$L$20-SUM(M21:M24)</f>
        <v>52500</v>
      </c>
      <c r="N25" s="341">
        <f>$L$20-SUM(N21:N24)</f>
        <v>64600</v>
      </c>
      <c r="O25" s="489">
        <f>N25-L25</f>
        <v>28900</v>
      </c>
      <c r="V25" s="88"/>
    </row>
    <row r="26" spans="1:22">
      <c r="B26" s="485"/>
      <c r="E26" s="487"/>
      <c r="F26" s="1"/>
      <c r="G26" s="494"/>
      <c r="H26" s="5"/>
      <c r="J26" s="487"/>
      <c r="L26" s="485"/>
      <c r="O26" s="487"/>
    </row>
    <row r="27" spans="1:22">
      <c r="A27" s="189" t="s">
        <v>415</v>
      </c>
      <c r="B27" s="492">
        <f>'Current NZ ETS settings'!C10*1000</f>
        <v>7700</v>
      </c>
      <c r="C27" s="5">
        <f>C25-B27</f>
        <v>60200</v>
      </c>
      <c r="D27" s="93"/>
      <c r="E27" s="487"/>
      <c r="F27" s="176"/>
      <c r="G27" s="492">
        <f>B27</f>
        <v>7700</v>
      </c>
      <c r="H27" s="5">
        <f>H25-B27</f>
        <v>59600</v>
      </c>
      <c r="J27" s="487"/>
      <c r="L27" s="492">
        <f>B27</f>
        <v>7700</v>
      </c>
      <c r="M27" s="5">
        <f>M25-L27</f>
        <v>44800</v>
      </c>
      <c r="N27" s="1"/>
      <c r="O27" s="487"/>
      <c r="V27" s="5"/>
    </row>
    <row r="28" spans="1:22">
      <c r="A28" s="189" t="s">
        <v>416</v>
      </c>
      <c r="B28" s="492">
        <f>'Current NZ ETS settings'!F33*1000</f>
        <v>7090</v>
      </c>
      <c r="C28" s="93"/>
      <c r="D28" s="93"/>
      <c r="E28" s="487"/>
      <c r="F28" s="1"/>
      <c r="G28" s="492">
        <f>B28</f>
        <v>7090</v>
      </c>
      <c r="H28" s="5"/>
      <c r="J28" s="487"/>
      <c r="L28" s="492">
        <f>B28</f>
        <v>7090</v>
      </c>
      <c r="M28" s="5"/>
      <c r="N28" s="5"/>
      <c r="O28" s="489"/>
    </row>
    <row r="29" spans="1:22">
      <c r="A29" s="189"/>
      <c r="B29" s="492"/>
      <c r="C29" s="93"/>
      <c r="D29" s="93"/>
      <c r="E29" s="487"/>
      <c r="F29" s="1"/>
      <c r="G29" s="485"/>
      <c r="J29" s="487"/>
      <c r="L29" s="490"/>
      <c r="M29" s="1"/>
      <c r="O29" s="487"/>
    </row>
    <row r="30" spans="1:22">
      <c r="A30" s="121" t="s">
        <v>417</v>
      </c>
      <c r="B30" s="495">
        <f>B25-SUM($B$27:$B$28)</f>
        <v>36310</v>
      </c>
      <c r="C30" s="93">
        <f>C25-SUM($B$27:$B$28)</f>
        <v>53110</v>
      </c>
      <c r="D30" s="93">
        <f>D25-SUM($B$27:$B$28)</f>
        <v>69510</v>
      </c>
      <c r="E30" s="489">
        <f t="shared" ref="E30" si="5">D30-B30</f>
        <v>33200</v>
      </c>
      <c r="F30" s="1"/>
      <c r="G30" s="495">
        <f>G25-SUM($B$27:$B$28)</f>
        <v>32010</v>
      </c>
      <c r="H30" s="93">
        <f>H25-SUM($B$27:$B$28)</f>
        <v>52510</v>
      </c>
      <c r="I30" s="93">
        <f>I25-SUM($B$27:$B$28)</f>
        <v>70910</v>
      </c>
      <c r="J30" s="489">
        <f t="shared" ref="J30" si="6">I30-G30</f>
        <v>38900</v>
      </c>
      <c r="L30" s="495">
        <f>L25-SUM($B$27:$B$28)</f>
        <v>20910</v>
      </c>
      <c r="M30" s="93">
        <f>M25-SUM($B$27:$B$28)</f>
        <v>37710</v>
      </c>
      <c r="N30" s="93">
        <f>N25-SUM($B$27:$B$28)</f>
        <v>49810</v>
      </c>
      <c r="O30" s="489">
        <f t="shared" ref="O30" si="7">N30-L30</f>
        <v>28900</v>
      </c>
    </row>
    <row r="31" spans="1:22" ht="15.75" thickBot="1">
      <c r="B31" s="571"/>
      <c r="C31" s="572"/>
      <c r="D31" s="572"/>
      <c r="E31" s="573"/>
      <c r="F31" s="1"/>
      <c r="G31" s="571"/>
      <c r="H31" s="572"/>
      <c r="I31" s="572"/>
      <c r="J31" s="573"/>
      <c r="L31" s="571"/>
      <c r="M31" s="572"/>
      <c r="N31" s="572"/>
      <c r="O31" s="573"/>
    </row>
    <row r="32" spans="1:22">
      <c r="A32" s="1"/>
      <c r="B32" s="114"/>
      <c r="D32" s="1"/>
      <c r="E32" s="1"/>
      <c r="F32" s="1"/>
      <c r="G32" s="5"/>
      <c r="H32" s="5"/>
      <c r="I32" s="88"/>
    </row>
    <row r="33" spans="1:29">
      <c r="B33" s="176"/>
      <c r="C33" s="176"/>
      <c r="D33" s="176"/>
      <c r="F33" s="5"/>
      <c r="G33" s="5"/>
      <c r="H33" s="7"/>
      <c r="I33" s="439"/>
      <c r="K33" s="5"/>
    </row>
    <row r="34" spans="1:29" s="16" customFormat="1">
      <c r="A34" s="26" t="s">
        <v>418</v>
      </c>
      <c r="B34" s="333"/>
      <c r="C34" s="333"/>
      <c r="D34" s="333"/>
    </row>
    <row r="35" spans="1:29">
      <c r="B35" s="1"/>
      <c r="F35" s="5"/>
      <c r="G35" s="5"/>
    </row>
    <row r="36" spans="1:29">
      <c r="C36" s="1">
        <v>2024</v>
      </c>
      <c r="D36" s="1">
        <v>2025</v>
      </c>
      <c r="E36" s="1">
        <v>2026</v>
      </c>
      <c r="F36">
        <v>2027</v>
      </c>
      <c r="G36" s="1">
        <v>2028</v>
      </c>
      <c r="H36" s="1">
        <v>2029</v>
      </c>
      <c r="I36" s="1">
        <v>2030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B37" t="s">
        <v>419</v>
      </c>
      <c r="C37" s="88">
        <f>'2. NZ ETS cap'!C29</f>
        <v>34237.271994281757</v>
      </c>
      <c r="D37" s="88">
        <f>'2. NZ ETS cap'!D29</f>
        <v>33558.297352404436</v>
      </c>
      <c r="E37" s="88">
        <f>'2. NZ ETS cap'!E29</f>
        <v>32238.143264153317</v>
      </c>
      <c r="F37" s="88">
        <f>'2. NZ ETS cap'!F29</f>
        <v>31816.338999303207</v>
      </c>
      <c r="G37" s="88">
        <f>'2. NZ ETS cap'!G29</f>
        <v>30592.637257794649</v>
      </c>
      <c r="H37" s="88">
        <f>'2. NZ ETS cap'!H29</f>
        <v>29770.214842316756</v>
      </c>
      <c r="I37" s="88">
        <f>'2. NZ ETS cap'!I29</f>
        <v>28222.927333945223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>
      <c r="A39" s="1" t="s">
        <v>420</v>
      </c>
      <c r="B39" t="s">
        <v>421</v>
      </c>
      <c r="C39" s="88">
        <f>'Hedging by emitters'!D78</f>
        <v>25147.747442611148</v>
      </c>
      <c r="D39" s="88">
        <f>'Hedging by emitters'!E78</f>
        <v>24005.394666141692</v>
      </c>
      <c r="E39" s="88">
        <f>'Hedging by emitters'!F78</f>
        <v>23159.954504789082</v>
      </c>
      <c r="F39" s="88">
        <f>'Hedging by emitters'!G78</f>
        <v>21760.805053923956</v>
      </c>
      <c r="G39" s="88">
        <f>'Hedging by emitters'!H78</f>
        <v>20381.673757913293</v>
      </c>
      <c r="H39" s="88">
        <f>'Hedging by emitters'!I78</f>
        <v>18704.99977606181</v>
      </c>
      <c r="I39" s="88">
        <f>'Hedging by emitters'!J78</f>
        <v>17366.288382237326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>
      <c r="B40" t="s">
        <v>422</v>
      </c>
      <c r="C40" s="88">
        <f ca="1">'P90 units held long-term'!I86*1000</f>
        <v>11540.391</v>
      </c>
      <c r="D40" s="88">
        <f ca="1">'P90 units held long-term'!J86*1000</f>
        <v>10216.62517688871</v>
      </c>
      <c r="E40" s="88">
        <f ca="1">'P90 units held long-term'!K86*1000</f>
        <v>9044.7048115645539</v>
      </c>
      <c r="F40" s="88">
        <f ca="1">'P90 units held long-term'!L86*1000</f>
        <v>8007.2121382505038</v>
      </c>
      <c r="G40" s="88">
        <f ca="1">'P90 units held long-term'!M86*1000</f>
        <v>7088.7273341378968</v>
      </c>
      <c r="H40" s="88">
        <f ca="1">'P90 units held long-term'!N86*1000</f>
        <v>6275.5993409627472</v>
      </c>
      <c r="I40" s="88">
        <f ca="1">'P90 units held long-term'!O86*1000</f>
        <v>5555.7429749950597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>
      <c r="B41" s="1" t="s">
        <v>423</v>
      </c>
      <c r="C41" s="5">
        <f t="shared" ref="C41:I41" ca="1" si="8">SUM(C39:C40)</f>
        <v>36688.138442611147</v>
      </c>
      <c r="D41" s="5">
        <f t="shared" ca="1" si="8"/>
        <v>34222.019843030401</v>
      </c>
      <c r="E41" s="5">
        <f t="shared" ca="1" si="8"/>
        <v>32204.659316353638</v>
      </c>
      <c r="F41" s="5">
        <f t="shared" ca="1" si="8"/>
        <v>29768.017192174459</v>
      </c>
      <c r="G41" s="5">
        <f t="shared" ca="1" si="8"/>
        <v>27470.40109205119</v>
      </c>
      <c r="H41" s="5">
        <f t="shared" ca="1" si="8"/>
        <v>24980.599117024558</v>
      </c>
      <c r="I41" s="5">
        <f t="shared" ca="1" si="8"/>
        <v>22922.031357232387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>
      <c r="B42" t="s">
        <v>424</v>
      </c>
      <c r="D42" s="5">
        <f t="shared" ref="D42:I42" ca="1" si="9">C41-D41</f>
        <v>2466.1185995807464</v>
      </c>
      <c r="E42" s="5">
        <f t="shared" ca="1" si="9"/>
        <v>2017.3605266767627</v>
      </c>
      <c r="F42" s="5">
        <f t="shared" ca="1" si="9"/>
        <v>2436.6421241791795</v>
      </c>
      <c r="G42" s="5">
        <f t="shared" ca="1" si="9"/>
        <v>2297.6161001232686</v>
      </c>
      <c r="H42" s="5">
        <f t="shared" ca="1" si="9"/>
        <v>2489.8019750266321</v>
      </c>
      <c r="I42" s="5">
        <f t="shared" ca="1" si="9"/>
        <v>2058.5677597921713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>
      <c r="A44" s="1" t="s">
        <v>425</v>
      </c>
      <c r="B44" t="s">
        <v>426</v>
      </c>
      <c r="C44" s="88">
        <f>'Hedging by emitters'!D72</f>
        <v>30765.531548267598</v>
      </c>
      <c r="D44" s="88">
        <f>'Hedging by emitters'!E72</f>
        <v>29400.117510014665</v>
      </c>
      <c r="E44" s="88">
        <f>'Hedging by emitters'!F72</f>
        <v>28197.563537255523</v>
      </c>
      <c r="F44" s="88">
        <f>'Hedging by emitters'!G72</f>
        <v>26420.284545840554</v>
      </c>
      <c r="G44" s="88">
        <f>'Hedging by emitters'!H72</f>
        <v>24787.067871390918</v>
      </c>
      <c r="H44" s="88">
        <f>'Hedging by emitters'!I72</f>
        <v>22943.117758806398</v>
      </c>
      <c r="I44" s="88">
        <f>'Hedging by emitters'!J72</f>
        <v>21508.686750946432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>
      <c r="B45" t="s">
        <v>427</v>
      </c>
      <c r="C45" s="88">
        <f ca="1">'P90 units held long-term'!I87*1000</f>
        <v>11540.391</v>
      </c>
      <c r="D45" s="88">
        <f ca="1">'P90 units held long-term'!J87*1000</f>
        <v>11085.65354843991</v>
      </c>
      <c r="E45" s="88">
        <f ca="1">'P90 units held long-term'!K87*1000</f>
        <v>10648.834566873718</v>
      </c>
      <c r="F45" s="88">
        <f ca="1">'P90 units held long-term'!L87*1000</f>
        <v>10229.227996088972</v>
      </c>
      <c r="G45" s="88">
        <f ca="1">'P90 units held long-term'!M87*1000</f>
        <v>9826.1555984233601</v>
      </c>
      <c r="H45" s="88">
        <f ca="1">'P90 units held long-term'!N87*1000</f>
        <v>9438.9658614846412</v>
      </c>
      <c r="I45" s="88">
        <f ca="1">'P90 units held long-term'!O87*1000</f>
        <v>9067.0329450683585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>
      <c r="B46" s="1" t="s">
        <v>428</v>
      </c>
      <c r="C46" s="88">
        <f t="shared" ref="C46:I46" ca="1" si="10">SUM(C44:C45)</f>
        <v>42305.922548267597</v>
      </c>
      <c r="D46" s="88">
        <f t="shared" ca="1" si="10"/>
        <v>40485.771058454571</v>
      </c>
      <c r="E46" s="88">
        <f t="shared" ca="1" si="10"/>
        <v>38846.398104129243</v>
      </c>
      <c r="F46" s="88">
        <f t="shared" ca="1" si="10"/>
        <v>36649.512541929522</v>
      </c>
      <c r="G46" s="88">
        <f t="shared" ca="1" si="10"/>
        <v>34613.223469814278</v>
      </c>
      <c r="H46" s="88">
        <f t="shared" ca="1" si="10"/>
        <v>32382.08362029104</v>
      </c>
      <c r="I46" s="88">
        <f t="shared" ca="1" si="10"/>
        <v>30575.719696014792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>
      <c r="B47" t="s">
        <v>424</v>
      </c>
      <c r="C47" s="88"/>
      <c r="D47" s="88">
        <f t="shared" ref="D47:I47" ca="1" si="11">C46-D46</f>
        <v>1820.1514898130263</v>
      </c>
      <c r="E47" s="88">
        <f t="shared" ca="1" si="11"/>
        <v>1639.3729543253285</v>
      </c>
      <c r="F47" s="88">
        <f t="shared" ca="1" si="11"/>
        <v>2196.8855621997209</v>
      </c>
      <c r="G47" s="88">
        <f t="shared" ca="1" si="11"/>
        <v>2036.2890721152435</v>
      </c>
      <c r="H47" s="88">
        <f t="shared" ca="1" si="11"/>
        <v>2231.1398495232388</v>
      </c>
      <c r="I47" s="88">
        <f t="shared" ca="1" si="11"/>
        <v>1806.3639242762474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>
      <c r="A49" s="1" t="s">
        <v>429</v>
      </c>
      <c r="B49" t="s">
        <v>430</v>
      </c>
      <c r="C49" s="88">
        <f>'Hedging by emitters'!D84</f>
        <v>19456.86151861188</v>
      </c>
      <c r="D49" s="88">
        <f>'Hedging by emitters'!E84</f>
        <v>18548.158547729065</v>
      </c>
      <c r="E49" s="88">
        <f>'Hedging by emitters'!F84</f>
        <v>17952.084732266932</v>
      </c>
      <c r="F49" s="88">
        <f>'Hedging by emitters'!G84</f>
        <v>16934.967584897611</v>
      </c>
      <c r="G49" s="88">
        <f>'Hedging by emitters'!H84</f>
        <v>15989.942399929952</v>
      </c>
      <c r="H49" s="88">
        <f>'Hedging by emitters'!I84</f>
        <v>14513.018799113326</v>
      </c>
      <c r="I49" s="88">
        <f>'Hedging by emitters'!J84</f>
        <v>13262.465838576818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>
      <c r="B50" t="s">
        <v>431</v>
      </c>
      <c r="C50" s="88">
        <f ca="1">'P90 units held long-term'!I85*1000</f>
        <v>11540.391</v>
      </c>
      <c r="D50" s="88">
        <f ca="1">'P90 units held long-term'!J85*1000</f>
        <v>9399.7205969437509</v>
      </c>
      <c r="E50" s="88">
        <f ca="1">'P90 units held long-term'!K85*1000</f>
        <v>7656.1311744644154</v>
      </c>
      <c r="F50" s="88">
        <f ca="1">'P90 units held long-term'!L85*1000</f>
        <v>6235.9666924211078</v>
      </c>
      <c r="G50" s="88">
        <f ca="1">'P90 units held long-term'!M85*1000</f>
        <v>5079.2338457688211</v>
      </c>
      <c r="H50" s="88">
        <f ca="1">'P90 units held long-term'!N85*1000</f>
        <v>4137.0677125902412</v>
      </c>
      <c r="I50" s="88">
        <f ca="1">'P90 units held long-term'!O85*1000</f>
        <v>3369.6675085779552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>
      <c r="B51" s="1" t="s">
        <v>428</v>
      </c>
      <c r="C51" s="88">
        <f t="shared" ref="C51:I51" ca="1" si="12">SUM(C49:C50)</f>
        <v>30997.25251861188</v>
      </c>
      <c r="D51" s="88">
        <f t="shared" ca="1" si="12"/>
        <v>27947.879144672814</v>
      </c>
      <c r="E51" s="88">
        <f t="shared" ca="1" si="12"/>
        <v>25608.215906731348</v>
      </c>
      <c r="F51" s="88">
        <f t="shared" ca="1" si="12"/>
        <v>23170.93427731872</v>
      </c>
      <c r="G51" s="88">
        <f t="shared" ca="1" si="12"/>
        <v>21069.176245698774</v>
      </c>
      <c r="H51" s="88">
        <f t="shared" ca="1" si="12"/>
        <v>18650.086511703568</v>
      </c>
      <c r="I51" s="88">
        <f t="shared" ca="1" si="12"/>
        <v>16632.133347154773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>
      <c r="B52" t="s">
        <v>424</v>
      </c>
      <c r="D52" s="5">
        <f t="shared" ref="D52:I52" ca="1" si="13">C51-D51</f>
        <v>3049.3733739390664</v>
      </c>
      <c r="E52" s="5">
        <f t="shared" ca="1" si="13"/>
        <v>2339.6632379414659</v>
      </c>
      <c r="F52" s="5">
        <f t="shared" ca="1" si="13"/>
        <v>2437.2816294126278</v>
      </c>
      <c r="G52" s="5">
        <f t="shared" ca="1" si="13"/>
        <v>2101.7580316199455</v>
      </c>
      <c r="H52" s="5">
        <f t="shared" ca="1" si="13"/>
        <v>2419.0897339952062</v>
      </c>
      <c r="I52" s="5">
        <f t="shared" ca="1" si="13"/>
        <v>2017.953164548795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4" spans="1:29">
      <c r="A54" s="1"/>
    </row>
    <row r="55" spans="1:29">
      <c r="A55" s="1"/>
    </row>
    <row r="56" spans="1:29">
      <c r="B56" s="1"/>
      <c r="C56" s="1"/>
      <c r="D56" s="178"/>
    </row>
    <row r="57" spans="1:29">
      <c r="B57" s="384"/>
      <c r="C57" s="384"/>
      <c r="D57" s="3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>
      <c r="B58" s="384"/>
      <c r="C58" s="384"/>
      <c r="D58" s="384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>
      <c r="A59" s="1"/>
      <c r="B59" s="384"/>
      <c r="C59" s="384"/>
      <c r="D59" s="384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29">
      <c r="B61" s="388"/>
      <c r="C61" s="385"/>
      <c r="D61" s="385"/>
    </row>
    <row r="62" spans="1:29">
      <c r="B62" s="388"/>
      <c r="C62" s="385"/>
      <c r="D62" s="385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>
      <c r="A63" s="1"/>
      <c r="B63" s="388"/>
      <c r="C63" s="385"/>
      <c r="D63" s="385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>
      <c r="H64" s="5"/>
      <c r="I64" s="5"/>
      <c r="J64" s="5"/>
      <c r="K64" s="5"/>
      <c r="L64" s="5"/>
      <c r="M64" s="5"/>
      <c r="N64" s="5"/>
      <c r="O64" s="5"/>
    </row>
    <row r="65" spans="1:11">
      <c r="A65" s="1"/>
      <c r="B65" s="441"/>
      <c r="C65" s="441"/>
      <c r="D65" s="441"/>
      <c r="E65" s="5"/>
      <c r="F65" s="5"/>
      <c r="G65" s="5"/>
      <c r="I65" s="88"/>
      <c r="K65" s="5"/>
    </row>
    <row r="66" spans="1:11">
      <c r="A66" s="1"/>
      <c r="B66" s="441"/>
      <c r="C66" s="441"/>
      <c r="D66" s="441"/>
      <c r="E66" s="5"/>
      <c r="F66" s="5"/>
      <c r="G66" s="5"/>
      <c r="I66" s="88"/>
      <c r="K66" s="5"/>
    </row>
    <row r="67" spans="1:11">
      <c r="A67" s="1"/>
      <c r="B67" s="441"/>
      <c r="C67" s="441"/>
      <c r="D67" s="441"/>
      <c r="E67" s="5"/>
      <c r="F67" s="5"/>
      <c r="G67" s="5"/>
      <c r="I67" s="88"/>
      <c r="K67" s="5"/>
    </row>
    <row r="68" spans="1:11">
      <c r="A68" s="1"/>
      <c r="B68" s="441"/>
      <c r="C68" s="441"/>
      <c r="D68" s="441"/>
      <c r="E68" s="5"/>
      <c r="F68" s="5"/>
      <c r="G68" s="5"/>
      <c r="I68" s="88"/>
      <c r="K68" s="5"/>
    </row>
    <row r="69" spans="1:11">
      <c r="A69" s="1"/>
      <c r="B69" s="441"/>
      <c r="C69" s="441"/>
      <c r="D69" s="441"/>
      <c r="E69" s="5"/>
      <c r="F69" s="5"/>
      <c r="G69" s="5"/>
      <c r="I69" s="88"/>
      <c r="K69" s="5"/>
    </row>
    <row r="70" spans="1:11">
      <c r="A70" s="1"/>
      <c r="B70" s="441"/>
      <c r="C70" s="441"/>
      <c r="D70" s="441"/>
      <c r="E70" s="5"/>
      <c r="F70" s="5"/>
      <c r="G70" s="5"/>
      <c r="I70" s="88"/>
      <c r="K70" s="5"/>
    </row>
    <row r="71" spans="1:11">
      <c r="A71" s="1"/>
      <c r="B71" s="441"/>
      <c r="C71" s="441"/>
      <c r="D71" s="441"/>
      <c r="E71" s="5"/>
      <c r="F71" s="5"/>
      <c r="G71" s="5"/>
      <c r="I71" s="88"/>
      <c r="K71" s="5"/>
    </row>
    <row r="72" spans="1:11">
      <c r="A72" s="1"/>
      <c r="B72" s="441"/>
      <c r="C72" s="441"/>
      <c r="D72" s="441"/>
      <c r="E72" s="5"/>
      <c r="F72" s="5"/>
      <c r="G72" s="5"/>
      <c r="I72" s="88"/>
      <c r="K72" s="5"/>
    </row>
    <row r="73" spans="1:11">
      <c r="A73" s="1"/>
      <c r="B73" s="441"/>
      <c r="C73" s="441"/>
      <c r="D73" s="441"/>
      <c r="E73" s="5"/>
      <c r="F73" s="5"/>
      <c r="G73" s="5"/>
      <c r="I73" s="88"/>
      <c r="K73" s="5"/>
    </row>
    <row r="74" spans="1:11">
      <c r="A74" s="1"/>
      <c r="B74" s="441"/>
      <c r="C74" s="441"/>
      <c r="D74" s="441"/>
      <c r="E74" s="5"/>
      <c r="F74" s="5"/>
      <c r="G74" s="5"/>
      <c r="I74" s="88"/>
      <c r="K74" s="5"/>
    </row>
    <row r="75" spans="1:11">
      <c r="A75" s="1"/>
      <c r="B75" s="441"/>
      <c r="C75" s="441"/>
      <c r="D75" s="441"/>
      <c r="E75" s="5"/>
      <c r="F75" s="5"/>
      <c r="G75" s="5"/>
      <c r="I75" s="88"/>
      <c r="K75" s="5"/>
    </row>
    <row r="76" spans="1:11">
      <c r="A76" s="1"/>
      <c r="B76" s="441"/>
      <c r="C76" s="441"/>
      <c r="D76" s="441"/>
      <c r="E76" s="5"/>
      <c r="F76" s="5"/>
      <c r="G76" s="5"/>
      <c r="I76" s="88"/>
      <c r="K76" s="5"/>
    </row>
    <row r="77" spans="1:11">
      <c r="A77" s="1"/>
      <c r="B77" s="176"/>
      <c r="C77" s="176"/>
      <c r="D77" s="176"/>
      <c r="F77" s="5"/>
      <c r="G77" s="5"/>
      <c r="I77" s="88"/>
      <c r="K77" s="5"/>
    </row>
    <row r="78" spans="1:11">
      <c r="A78" s="1"/>
      <c r="B78" s="176"/>
      <c r="C78" s="176"/>
      <c r="D78" s="176"/>
      <c r="F78" s="5"/>
      <c r="G78" s="5"/>
      <c r="I78" s="88"/>
      <c r="K78" s="5"/>
    </row>
    <row r="79" spans="1:11">
      <c r="A79" s="1"/>
      <c r="B79" s="176"/>
      <c r="C79" s="176"/>
      <c r="D79" s="176"/>
      <c r="F79" s="5"/>
      <c r="G79" s="5"/>
      <c r="I79" s="88"/>
      <c r="K79" s="5"/>
    </row>
    <row r="80" spans="1:11">
      <c r="A80" s="1"/>
      <c r="B80" s="176"/>
      <c r="C80" s="176"/>
      <c r="D80" s="176"/>
      <c r="F80" s="5"/>
      <c r="G80" s="5"/>
      <c r="I80" s="88"/>
      <c r="K80" s="5"/>
    </row>
    <row r="81" spans="1:15">
      <c r="A81" s="1"/>
      <c r="B81" s="176"/>
      <c r="C81" s="176"/>
      <c r="D81" s="176"/>
      <c r="F81" s="5"/>
      <c r="G81" s="5"/>
      <c r="I81" s="88"/>
      <c r="K81" s="5"/>
    </row>
    <row r="82" spans="1:15">
      <c r="A82" s="1"/>
      <c r="B82" s="176"/>
      <c r="C82" s="176"/>
      <c r="D82" s="176"/>
      <c r="F82" s="5"/>
      <c r="G82" s="5"/>
      <c r="I82" s="88"/>
      <c r="K82" s="5"/>
    </row>
    <row r="83" spans="1:15">
      <c r="A83" s="1"/>
      <c r="B83" s="176"/>
      <c r="C83" s="176"/>
      <c r="D83" s="176"/>
      <c r="F83" s="5"/>
      <c r="G83" s="5"/>
      <c r="I83" s="88"/>
      <c r="K83" s="5"/>
    </row>
    <row r="84" spans="1:15">
      <c r="A84" s="1"/>
      <c r="B84" s="176"/>
      <c r="C84" s="176"/>
      <c r="D84" s="176"/>
      <c r="F84" s="5"/>
      <c r="G84" s="5"/>
      <c r="I84" s="88"/>
      <c r="K84" s="5"/>
    </row>
    <row r="85" spans="1:15">
      <c r="D85" s="526"/>
      <c r="E85" s="526"/>
      <c r="F85" s="526"/>
      <c r="G85" s="526"/>
      <c r="I85" s="88"/>
    </row>
    <row r="86" spans="1:15">
      <c r="D86" s="125"/>
      <c r="E86" s="125"/>
      <c r="F86" s="125"/>
      <c r="G86" s="125"/>
      <c r="I86" s="88"/>
    </row>
    <row r="87" spans="1:15">
      <c r="D87" s="125"/>
      <c r="E87" s="125"/>
      <c r="F87" s="125"/>
      <c r="G87" s="125"/>
      <c r="I87" s="88"/>
    </row>
    <row r="88" spans="1:15">
      <c r="D88" s="125"/>
      <c r="E88" s="125"/>
      <c r="F88" s="125"/>
      <c r="G88" s="125"/>
      <c r="I88" s="5"/>
      <c r="J88" s="5"/>
      <c r="K88" s="5"/>
      <c r="L88" s="5"/>
      <c r="M88" s="5"/>
      <c r="N88" s="5"/>
      <c r="O88" s="5"/>
    </row>
    <row r="89" spans="1:15">
      <c r="D89" s="9"/>
      <c r="E89" s="9"/>
      <c r="F89" s="9"/>
      <c r="G89" s="9"/>
    </row>
    <row r="90" spans="1:15">
      <c r="D90" s="9"/>
      <c r="E90" s="9"/>
      <c r="F90" s="9"/>
      <c r="G90" s="9"/>
    </row>
    <row r="91" spans="1:15">
      <c r="D91" s="9"/>
      <c r="E91" s="9"/>
      <c r="F91" s="9"/>
      <c r="G91" s="9"/>
    </row>
    <row r="92" spans="1:15">
      <c r="D92" s="9"/>
      <c r="E92" s="9"/>
      <c r="F92" s="9"/>
      <c r="G92" s="9"/>
    </row>
    <row r="93" spans="1:15">
      <c r="B93" s="9"/>
      <c r="C93" s="9"/>
      <c r="D93" s="9"/>
      <c r="E93" s="9"/>
    </row>
    <row r="94" spans="1:15">
      <c r="A94" s="1"/>
    </row>
    <row r="98" spans="3:15">
      <c r="C98" s="5"/>
      <c r="D98" s="5"/>
      <c r="E98" s="5"/>
    </row>
    <row r="99" spans="3:15">
      <c r="C99" s="5"/>
      <c r="D99" s="5"/>
      <c r="E99" s="5"/>
      <c r="F99" s="5"/>
      <c r="G99" s="5"/>
      <c r="H99" s="5"/>
    </row>
    <row r="100" spans="3:15">
      <c r="D100" s="5"/>
    </row>
    <row r="104" spans="3:15">
      <c r="F104" s="5"/>
      <c r="G104" s="5"/>
      <c r="H104" s="5"/>
    </row>
    <row r="105" spans="3:15">
      <c r="F105" s="1"/>
      <c r="G105" s="5"/>
      <c r="H105" s="9"/>
      <c r="I105" s="5"/>
      <c r="J105" s="5"/>
      <c r="K105" s="5"/>
      <c r="L105" s="5"/>
    </row>
    <row r="106" spans="3:15">
      <c r="F106" s="5"/>
      <c r="G106" s="5"/>
    </row>
    <row r="107" spans="3:15">
      <c r="D107" s="1"/>
      <c r="F107" s="5"/>
      <c r="G107" s="5"/>
    </row>
    <row r="108" spans="3:15">
      <c r="D108" s="1"/>
      <c r="F108" s="5"/>
    </row>
    <row r="109" spans="3:15"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3:15">
      <c r="D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3:15">
      <c r="D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3:15">
      <c r="D112" s="5"/>
      <c r="F112" s="5"/>
      <c r="G112" s="5"/>
      <c r="H112" s="14"/>
      <c r="I112" s="14"/>
      <c r="J112" s="14"/>
      <c r="K112" s="14"/>
      <c r="L112" s="14"/>
      <c r="M112" s="14"/>
      <c r="N112" s="14"/>
    </row>
    <row r="113" spans="1:30">
      <c r="D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30">
      <c r="D114" s="5"/>
      <c r="F114" s="5"/>
      <c r="G114" s="5"/>
      <c r="H114" s="14"/>
      <c r="I114" s="14"/>
      <c r="J114" s="14"/>
      <c r="K114" s="14"/>
      <c r="L114" s="14"/>
      <c r="M114" s="14"/>
      <c r="N114" s="14"/>
    </row>
    <row r="115" spans="1:30">
      <c r="D115" s="5"/>
      <c r="E115" s="1"/>
      <c r="G115" s="5"/>
    </row>
    <row r="116" spans="1:30">
      <c r="D116" s="5"/>
      <c r="E116" s="5"/>
    </row>
    <row r="117" spans="1:30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30"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30">
      <c r="F119" s="5"/>
      <c r="G119" s="5"/>
      <c r="H119" s="5"/>
      <c r="I119" s="5"/>
      <c r="J119" s="5"/>
      <c r="K119" s="5"/>
      <c r="L119" s="5"/>
      <c r="M119" s="5"/>
      <c r="N119" s="5"/>
    </row>
    <row r="120" spans="1:30">
      <c r="F120" s="5"/>
      <c r="G120" s="5"/>
      <c r="H120" s="5"/>
      <c r="I120" s="5"/>
      <c r="J120" s="5"/>
      <c r="K120" s="5"/>
      <c r="L120" s="5"/>
      <c r="M120" s="5"/>
      <c r="N120" s="5"/>
    </row>
    <row r="121" spans="1:30">
      <c r="G121" s="5"/>
      <c r="H121" s="5"/>
      <c r="I121" s="5"/>
      <c r="J121" s="5"/>
      <c r="K121" s="5"/>
      <c r="L121" s="5"/>
      <c r="M121" s="5"/>
      <c r="N121" s="5"/>
    </row>
    <row r="128" spans="1:30">
      <c r="A128" s="1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</row>
    <row r="129" spans="2:35"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</row>
    <row r="130" spans="2:35">
      <c r="E130" s="354"/>
      <c r="F130" s="354"/>
      <c r="H130" s="5"/>
      <c r="J130" s="88"/>
      <c r="K130" s="88"/>
      <c r="L130" s="88"/>
      <c r="M130" s="88"/>
      <c r="N130" s="88"/>
      <c r="O130" s="88"/>
      <c r="P130" s="88"/>
      <c r="AH130" s="1"/>
      <c r="AI130" s="1"/>
    </row>
    <row r="131" spans="2:35">
      <c r="E131" s="328"/>
      <c r="F131" s="328"/>
      <c r="H131" s="5"/>
      <c r="J131" s="5"/>
      <c r="K131" s="5"/>
      <c r="O131" s="5"/>
      <c r="P131" s="5"/>
      <c r="Q131" s="5"/>
      <c r="AE131" s="5"/>
      <c r="AF131" s="5"/>
      <c r="AG131" s="5"/>
    </row>
    <row r="132" spans="2:35">
      <c r="E132" s="328"/>
      <c r="F132" s="328"/>
      <c r="H132" s="5"/>
      <c r="I132" s="5"/>
      <c r="J132" s="88"/>
      <c r="K132" s="88"/>
      <c r="L132" s="88"/>
      <c r="M132" s="88"/>
      <c r="N132" s="88"/>
      <c r="O132" s="88"/>
      <c r="P132" s="88"/>
      <c r="AE132" s="5"/>
      <c r="AF132" s="5"/>
      <c r="AG132" s="5"/>
    </row>
    <row r="133" spans="2:35">
      <c r="E133" s="341"/>
      <c r="F133" s="341"/>
      <c r="H133" s="5"/>
      <c r="I133" s="5"/>
      <c r="J133" s="5"/>
      <c r="K133" s="5"/>
      <c r="O133" s="88"/>
      <c r="P133" s="88"/>
      <c r="Q133" s="88"/>
      <c r="T133" s="5"/>
    </row>
    <row r="134" spans="2:35">
      <c r="E134" s="341"/>
      <c r="F134" s="341"/>
      <c r="H134" s="5"/>
      <c r="I134" s="5"/>
      <c r="J134" s="5"/>
      <c r="K134" s="5"/>
      <c r="L134" s="5"/>
      <c r="M134" s="5"/>
      <c r="N134" s="5"/>
      <c r="O134" s="5"/>
      <c r="P134" s="5"/>
      <c r="Q134" s="88"/>
      <c r="T134" s="5"/>
    </row>
    <row r="135" spans="2:35">
      <c r="D135" s="341"/>
      <c r="E135" s="341"/>
      <c r="F135" s="341"/>
      <c r="H135" s="5"/>
      <c r="J135" s="5"/>
      <c r="K135" s="5"/>
      <c r="L135" s="5"/>
      <c r="M135" s="5"/>
      <c r="N135" s="5"/>
      <c r="O135" s="5"/>
      <c r="P135" s="5"/>
      <c r="Q135" s="88"/>
      <c r="T135" s="5"/>
    </row>
    <row r="136" spans="2:35">
      <c r="B136" s="1"/>
      <c r="D136" s="341"/>
      <c r="E136" s="341"/>
      <c r="F136" s="341"/>
      <c r="H136" s="5"/>
      <c r="I136" s="5"/>
      <c r="J136" s="5"/>
      <c r="K136" s="5"/>
      <c r="L136" s="5"/>
      <c r="M136" s="5"/>
      <c r="N136" s="5"/>
      <c r="O136" s="5"/>
      <c r="P136" s="5"/>
      <c r="Q136" s="88"/>
      <c r="T136" s="5"/>
    </row>
    <row r="137" spans="2:35">
      <c r="D137" s="341"/>
      <c r="E137" s="341"/>
      <c r="F137" s="341"/>
      <c r="H137" s="5"/>
      <c r="I137" s="5"/>
      <c r="Q137" s="88"/>
      <c r="T137" s="5"/>
    </row>
    <row r="138" spans="2:35">
      <c r="D138" s="341"/>
      <c r="E138" s="341"/>
      <c r="F138" s="341"/>
      <c r="H138" s="5"/>
      <c r="I138" s="5"/>
      <c r="J138" s="5"/>
      <c r="K138" s="176"/>
      <c r="L138" s="176"/>
      <c r="M138" s="176"/>
      <c r="N138" s="176"/>
      <c r="O138" s="176"/>
      <c r="P138" s="176"/>
      <c r="Q138" s="88"/>
      <c r="T138" s="5"/>
    </row>
    <row r="139" spans="2:35">
      <c r="C139" s="1"/>
      <c r="D139" s="171"/>
      <c r="E139" s="171"/>
      <c r="F139" s="171"/>
      <c r="H139" s="5"/>
      <c r="Q139" s="88"/>
      <c r="T139" s="5"/>
      <c r="AF139" s="5"/>
    </row>
    <row r="140" spans="2:35">
      <c r="D140" s="341"/>
      <c r="E140" s="341"/>
      <c r="F140" s="341"/>
      <c r="H140" s="5"/>
      <c r="J140" s="5"/>
      <c r="K140" s="5"/>
      <c r="L140" s="5"/>
      <c r="M140" s="5"/>
      <c r="N140" s="5"/>
      <c r="O140" s="5"/>
      <c r="P140" s="5"/>
    </row>
    <row r="141" spans="2:35">
      <c r="B141" s="1"/>
      <c r="C141" s="1"/>
      <c r="D141" s="136"/>
      <c r="E141" s="136"/>
      <c r="F141" s="13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88"/>
      <c r="T141" s="5"/>
    </row>
    <row r="142" spans="2:35">
      <c r="C142" s="1"/>
      <c r="D142" s="355"/>
      <c r="E142" s="355"/>
      <c r="F142" s="355"/>
      <c r="G142" s="5"/>
      <c r="H142" s="5"/>
      <c r="I142" s="34"/>
      <c r="J142" s="34"/>
      <c r="K142" s="34"/>
      <c r="N142" s="1"/>
      <c r="O142" s="34"/>
      <c r="P142" s="34"/>
      <c r="Q142" s="34"/>
      <c r="T142" s="5"/>
    </row>
    <row r="143" spans="2:35">
      <c r="G143" s="5"/>
      <c r="H143" s="5"/>
      <c r="T143" s="5"/>
    </row>
    <row r="144" spans="2:35">
      <c r="H144" s="324"/>
      <c r="I144" s="324"/>
      <c r="J144" s="324"/>
      <c r="K144" s="324"/>
      <c r="O144" s="5"/>
      <c r="P144" s="5"/>
      <c r="Q144" s="5"/>
      <c r="T144" s="5"/>
    </row>
    <row r="145" spans="1:30">
      <c r="A145" s="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>
      <c r="D146" s="5"/>
      <c r="K146" s="5"/>
      <c r="L146" s="5"/>
      <c r="M146" s="5"/>
      <c r="N146" s="5"/>
      <c r="R146" s="5"/>
      <c r="S146" s="5"/>
      <c r="T146" s="5"/>
      <c r="U146" s="5"/>
    </row>
    <row r="147" spans="1:30">
      <c r="K147" s="5"/>
      <c r="L147" s="5"/>
      <c r="M147" s="5"/>
      <c r="N147" s="5"/>
      <c r="R147" s="5"/>
      <c r="S147" s="5"/>
      <c r="T147" s="5"/>
      <c r="U147" s="5"/>
    </row>
    <row r="148" spans="1:30">
      <c r="K148" s="5"/>
      <c r="L148" s="5"/>
      <c r="M148" s="5"/>
      <c r="N148" s="5"/>
      <c r="R148" s="5"/>
      <c r="S148" s="5"/>
      <c r="T148" s="5"/>
      <c r="U148" s="5"/>
    </row>
    <row r="149" spans="1:30">
      <c r="K149" s="5"/>
      <c r="L149" s="5"/>
      <c r="M149" s="5"/>
      <c r="N149" s="5"/>
      <c r="R149" s="5"/>
      <c r="S149" s="5"/>
      <c r="T149" s="5"/>
      <c r="U149" s="5"/>
    </row>
    <row r="150" spans="1:30">
      <c r="K150" s="5"/>
      <c r="L150" s="5"/>
      <c r="M150" s="5"/>
      <c r="N150" s="5"/>
      <c r="R150" s="5"/>
      <c r="S150" s="5"/>
      <c r="T150" s="5"/>
      <c r="U150" s="5"/>
    </row>
    <row r="151" spans="1:30">
      <c r="K151" s="5"/>
      <c r="L151" s="5"/>
      <c r="M151" s="5"/>
      <c r="N151" s="5"/>
      <c r="R151" s="5"/>
      <c r="S151" s="5"/>
      <c r="T151" s="5"/>
      <c r="U151" s="5"/>
    </row>
    <row r="152" spans="1:30">
      <c r="C152" s="1"/>
      <c r="D152" s="245"/>
    </row>
    <row r="153" spans="1:30" s="1" customFormat="1">
      <c r="C153" s="169"/>
    </row>
    <row r="154" spans="1:30" s="1" customFormat="1">
      <c r="C154" s="169"/>
    </row>
    <row r="155" spans="1:30" s="1" customFormat="1"/>
    <row r="156" spans="1:30">
      <c r="A156" s="1"/>
      <c r="C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30">
      <c r="G157" s="1"/>
      <c r="H157" s="174"/>
      <c r="I157" s="174"/>
      <c r="J157" s="174"/>
      <c r="K157" s="175"/>
      <c r="L157" s="175"/>
      <c r="M157" s="175"/>
      <c r="N157" s="175"/>
      <c r="O157" s="175"/>
      <c r="P157" s="6"/>
    </row>
    <row r="158" spans="1:30">
      <c r="E158" s="351"/>
      <c r="F158" s="351"/>
      <c r="G158" s="351"/>
      <c r="H158" s="136"/>
      <c r="I158" s="136"/>
      <c r="J158" s="136"/>
      <c r="K158" s="136"/>
      <c r="L158" s="136"/>
      <c r="M158" s="136"/>
      <c r="N158" s="136"/>
      <c r="O158" s="136"/>
      <c r="P158" s="176"/>
    </row>
    <row r="159" spans="1:30">
      <c r="C159" s="171"/>
      <c r="D159" s="136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</row>
    <row r="160" spans="1:30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</row>
    <row r="161" spans="1:16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</row>
    <row r="162" spans="1:16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</row>
    <row r="163" spans="1:16">
      <c r="A163" s="1"/>
      <c r="C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6">
      <c r="E164" s="1"/>
      <c r="F164" s="1"/>
      <c r="G164" s="1"/>
      <c r="H164" s="174"/>
      <c r="I164" s="174"/>
      <c r="J164" s="175"/>
      <c r="K164" s="175"/>
      <c r="L164" s="175"/>
      <c r="M164" s="175"/>
      <c r="N164" s="175"/>
      <c r="O164" s="175"/>
      <c r="P164" s="6"/>
    </row>
    <row r="165" spans="1:16">
      <c r="E165" s="351"/>
      <c r="F165" s="351"/>
      <c r="G165" s="351"/>
      <c r="H165" s="136"/>
      <c r="I165" s="136"/>
      <c r="J165" s="136"/>
      <c r="K165" s="136"/>
      <c r="L165" s="136"/>
      <c r="M165" s="136"/>
      <c r="N165" s="136"/>
      <c r="O165" s="136"/>
      <c r="P165" s="176"/>
    </row>
    <row r="166" spans="1:16">
      <c r="C166" s="5"/>
      <c r="D166" s="136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</row>
    <row r="167" spans="1:16">
      <c r="C167" s="5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</row>
    <row r="168" spans="1:16">
      <c r="B168" s="1"/>
      <c r="C168" s="5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</row>
    <row r="169" spans="1:16">
      <c r="B169" s="1"/>
      <c r="C169" s="1"/>
      <c r="E169" s="1"/>
      <c r="F169" s="1"/>
      <c r="G169" s="1"/>
      <c r="H169" s="174"/>
      <c r="I169" s="174"/>
      <c r="J169" s="175"/>
      <c r="K169" s="175"/>
      <c r="L169" s="175"/>
      <c r="M169" s="175"/>
      <c r="N169" s="175"/>
      <c r="O169" s="175"/>
    </row>
    <row r="170" spans="1:16" s="1" customFormat="1">
      <c r="A170" s="245"/>
      <c r="D170"/>
    </row>
    <row r="171" spans="1:16">
      <c r="E171" s="174"/>
      <c r="F171" s="174"/>
      <c r="G171" s="174"/>
      <c r="H171" s="174"/>
      <c r="I171" s="174"/>
      <c r="J171" s="174"/>
      <c r="K171" s="60"/>
      <c r="L171" s="175"/>
      <c r="M171" s="175"/>
      <c r="N171" s="175"/>
      <c r="O171" s="175"/>
      <c r="P171" s="6"/>
    </row>
    <row r="172" spans="1:16" s="1" customFormat="1">
      <c r="B172"/>
      <c r="C172"/>
      <c r="D172"/>
      <c r="E172" s="352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76"/>
    </row>
    <row r="173" spans="1:16">
      <c r="C173" s="5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</row>
    <row r="174" spans="1:16">
      <c r="C174" s="5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</row>
    <row r="175" spans="1:16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6"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</row>
    <row r="177" spans="1:17">
      <c r="A177" s="1"/>
      <c r="C177" s="1"/>
      <c r="Q177" s="1"/>
    </row>
    <row r="178" spans="1:17">
      <c r="D178" s="353"/>
      <c r="E178" s="351"/>
      <c r="F178" s="351"/>
      <c r="G178" s="351"/>
      <c r="H178" s="351"/>
      <c r="I178" s="351"/>
      <c r="J178" s="351"/>
      <c r="K178" s="353"/>
      <c r="L178" s="353"/>
      <c r="M178" s="353"/>
      <c r="N178" s="353"/>
      <c r="O178" s="353"/>
      <c r="P178" s="176"/>
      <c r="Q178" s="5"/>
    </row>
    <row r="179" spans="1:17">
      <c r="C179" s="5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</row>
    <row r="180" spans="1:17">
      <c r="C180" s="5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</row>
    <row r="181" spans="1:17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3" spans="1:17">
      <c r="A183" s="1"/>
      <c r="C183" s="1"/>
      <c r="Q183" s="1"/>
    </row>
    <row r="184" spans="1:17">
      <c r="D184" s="353"/>
      <c r="E184" s="351"/>
      <c r="F184" s="351"/>
      <c r="G184" s="351"/>
      <c r="H184" s="351"/>
      <c r="I184" s="351"/>
      <c r="J184" s="351"/>
      <c r="K184" s="353"/>
      <c r="L184" s="353"/>
      <c r="M184" s="353"/>
      <c r="N184" s="353"/>
      <c r="O184" s="353"/>
      <c r="P184" s="176"/>
      <c r="Q184" s="5"/>
    </row>
    <row r="185" spans="1:17">
      <c r="C185" s="5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>
      <c r="C186" s="5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</row>
    <row r="187" spans="1:17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7">
      <c r="N188" s="5"/>
      <c r="O188" s="5"/>
      <c r="P188" s="5"/>
    </row>
    <row r="193" spans="2:3">
      <c r="B193" s="177"/>
      <c r="C193" s="178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1" spans="3:4">
      <c r="C221" s="14"/>
      <c r="D221" s="14"/>
    </row>
    <row r="222" spans="3:4">
      <c r="C222" s="5"/>
      <c r="D222" s="5"/>
    </row>
  </sheetData>
  <mergeCells count="4">
    <mergeCell ref="B6:D6"/>
    <mergeCell ref="B20:D20"/>
    <mergeCell ref="G20:I20"/>
    <mergeCell ref="L20:N20"/>
  </mergeCells>
  <dataValidations disablePrompts="1" count="1">
    <dataValidation type="list" allowBlank="1" showInputMessage="1" showErrorMessage="1" sqref="C153:C154" xr:uid="{69FDE87D-C40E-4EE7-B3E2-830706004485}">
      <formula1>"Small, Central, Large"</formula1>
    </dataValidation>
  </dataValidations>
  <hyperlinks>
    <hyperlink ref="A8" location="'P89 units held for harvest'!A1" display="Held for harvest" xr:uid="{987D7FA9-6A11-434C-920C-F21D05577F6F}"/>
    <hyperlink ref="A7" location="'P90 units held long-term'!A1" display="P90 held in 2030" xr:uid="{0048C4E0-2D59-4C13-83DF-1BE61B91F5A8}"/>
    <hyperlink ref="A9" location="'Hedging by emitters'!A1" display="Units required for hedging in 2030" xr:uid="{D590937B-592C-4EE3-B0DB-B461DF2C7E03}"/>
    <hyperlink ref="A11" location="'P89 MERP4 additional surplus'!A1" display="Additional MERP 4 surplus units" xr:uid="{94BF8019-3136-41B0-A1DA-31EE2CDE4B15}"/>
  </hyperlinks>
  <pageMargins left="0.7" right="0.7" top="0.75" bottom="0.75" header="0.3" footer="0.3"/>
  <pageSetup paperSize="9" orientation="portrait" r:id="rId1"/>
  <headerFooter>
    <oddHeader>&amp;C&amp;"Calibri"&amp;9&amp;K000000 [IN-CONFIDENCE]&amp;1#_x000D_</oddHeader>
    <oddFooter>&amp;C_x000D_&amp;1#&amp;"Calibri"&amp;9&amp;K000000 [IN-CONFIDENCE]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2231-2D91-4DA4-BE4B-B3772402D3F4}">
  <sheetPr>
    <tabColor rgb="FFFF99FF"/>
  </sheetPr>
  <dimension ref="A1:AI140"/>
  <sheetViews>
    <sheetView zoomScale="85" zoomScaleNormal="85" workbookViewId="0">
      <selection activeCell="F40" sqref="F40"/>
    </sheetView>
  </sheetViews>
  <sheetFormatPr defaultColWidth="9.140625" defaultRowHeight="15"/>
  <cols>
    <col min="1" max="1" width="28.5703125" customWidth="1"/>
    <col min="2" max="2" width="34.140625" customWidth="1"/>
    <col min="3" max="3" width="20.140625" customWidth="1"/>
    <col min="4" max="4" width="20.5703125" customWidth="1"/>
    <col min="5" max="7" width="18.7109375" customWidth="1"/>
    <col min="8" max="8" width="18.140625" customWidth="1"/>
    <col min="9" max="9" width="16.7109375" customWidth="1"/>
    <col min="10" max="10" width="24.140625" customWidth="1"/>
    <col min="11" max="11" width="21.5703125" customWidth="1"/>
    <col min="12" max="13" width="12" customWidth="1"/>
    <col min="14" max="14" width="16.85546875" customWidth="1"/>
    <col min="15" max="15" width="17.5703125" customWidth="1"/>
    <col min="16" max="16" width="13.42578125" customWidth="1"/>
    <col min="17" max="17" width="11.42578125" customWidth="1"/>
    <col min="18" max="18" width="10.28515625" customWidth="1"/>
    <col min="19" max="29" width="13.5703125" customWidth="1"/>
  </cols>
  <sheetData>
    <row r="1" spans="1:29" s="1" customFormat="1" ht="15.75" thickBot="1">
      <c r="A1" s="1" t="s">
        <v>432</v>
      </c>
      <c r="J1"/>
      <c r="K1"/>
      <c r="L1"/>
      <c r="M1"/>
      <c r="N1"/>
      <c r="O1"/>
      <c r="P1"/>
      <c r="Q1"/>
      <c r="R1"/>
      <c r="S1"/>
    </row>
    <row r="2" spans="1:29">
      <c r="A2" s="392"/>
      <c r="B2" s="364"/>
      <c r="C2" s="528"/>
    </row>
    <row r="3" spans="1:29" ht="30">
      <c r="A3" s="366"/>
      <c r="B3" s="158" t="s">
        <v>433</v>
      </c>
      <c r="C3" s="580" t="s">
        <v>434</v>
      </c>
      <c r="F3" s="1"/>
      <c r="G3" s="1"/>
    </row>
    <row r="4" spans="1:29">
      <c r="A4" s="366" t="s">
        <v>435</v>
      </c>
      <c r="B4" s="400" t="s">
        <v>230</v>
      </c>
      <c r="C4" s="581">
        <f ca="1">IF($B$4="low",'5a. Total surplus estimate'!B12,IF('5a. Surplus reduction volumes'!$B$4="Central",'5a. Total surplus estimate'!C12,IF('5a. Surplus reduction volumes'!$B$4="high",'5a. Total surplus estimate'!D12)))</f>
        <v>50158.907164133809</v>
      </c>
      <c r="F4" s="488"/>
      <c r="G4" s="488"/>
    </row>
    <row r="5" spans="1:29" ht="15.75" thickBot="1">
      <c r="A5" s="375"/>
      <c r="B5" s="393"/>
      <c r="C5" s="582"/>
      <c r="F5" s="1"/>
    </row>
    <row r="6" spans="1:29">
      <c r="A6" s="1"/>
      <c r="C6" s="1"/>
      <c r="D6" s="1"/>
      <c r="E6" s="1"/>
      <c r="G6" s="1"/>
    </row>
    <row r="7" spans="1:29">
      <c r="C7" s="1" t="s">
        <v>313</v>
      </c>
      <c r="E7" s="1" t="s">
        <v>314</v>
      </c>
      <c r="G7" s="1" t="s">
        <v>436</v>
      </c>
    </row>
    <row r="8" spans="1:29">
      <c r="A8" s="42" t="s">
        <v>437</v>
      </c>
      <c r="B8" s="42"/>
      <c r="C8" s="43">
        <v>2024</v>
      </c>
      <c r="D8" s="43">
        <v>2025</v>
      </c>
      <c r="E8" s="42">
        <v>2026</v>
      </c>
      <c r="F8" s="42">
        <v>2027</v>
      </c>
      <c r="G8" s="391">
        <v>2028</v>
      </c>
      <c r="H8" s="391">
        <v>2029</v>
      </c>
      <c r="I8" s="391">
        <v>2030</v>
      </c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24" customFormat="1">
      <c r="B9" s="324" t="s">
        <v>438</v>
      </c>
      <c r="C9" s="356"/>
      <c r="D9" s="257"/>
      <c r="E9" s="257"/>
      <c r="F9" s="257"/>
      <c r="G9" s="357">
        <f>'2. NZ ETS cap'!G29/SUM('2. NZ ETS cap'!$G$29:$I$29)</f>
        <v>0.3453447884439268</v>
      </c>
      <c r="H9" s="357">
        <f>'2. NZ ETS cap'!H29/SUM('2. NZ ETS cap'!$G$29:$I$29)</f>
        <v>0.33606087830922954</v>
      </c>
      <c r="I9" s="357">
        <f>'2. NZ ETS cap'!I29/SUM('2. NZ ETS cap'!$G$29:$I$29)</f>
        <v>0.31859433324684361</v>
      </c>
      <c r="J9"/>
      <c r="K9"/>
      <c r="L9"/>
      <c r="M9"/>
      <c r="N9"/>
      <c r="O9"/>
      <c r="P9"/>
      <c r="Q9"/>
      <c r="R9"/>
      <c r="S9"/>
      <c r="T9" s="357"/>
      <c r="U9" s="357"/>
      <c r="V9" s="357"/>
      <c r="W9" s="357"/>
      <c r="X9" s="357"/>
      <c r="Y9" s="357"/>
      <c r="Z9" s="357"/>
      <c r="AA9" s="357"/>
      <c r="AB9" s="357"/>
      <c r="AC9" s="357"/>
    </row>
    <row r="10" spans="1:29" s="324" customFormat="1">
      <c r="B10" s="324" t="s">
        <v>439</v>
      </c>
      <c r="C10" s="356"/>
      <c r="E10" s="357">
        <f>'2. NZ ETS cap'!E29/SUM('2. NZ ETS cap'!$E$29:$I$29)</f>
        <v>0.21120340666107854</v>
      </c>
      <c r="F10" s="357">
        <f>'2. NZ ETS cap'!F29/SUM('2. NZ ETS cap'!$E$29:$I$29)</f>
        <v>0.20844001867838496</v>
      </c>
      <c r="G10" s="357">
        <f>'2. NZ ETS cap'!G29/SUM('2. NZ ETS cap'!$E$29:$I$29)</f>
        <v>0.20042311849818503</v>
      </c>
      <c r="H10" s="357">
        <f>'2. NZ ETS cap'!H29/SUM('2. NZ ETS cap'!$E$29:$I$29)</f>
        <v>0.1950351402129559</v>
      </c>
      <c r="I10" s="357">
        <f>'2. NZ ETS cap'!I29/SUM('2. NZ ETS cap'!$E$29:$I$29)</f>
        <v>0.18489831594939568</v>
      </c>
      <c r="J10"/>
      <c r="K10"/>
      <c r="L10"/>
      <c r="M10"/>
      <c r="N10"/>
      <c r="O10"/>
      <c r="P10"/>
      <c r="Q10"/>
      <c r="R10"/>
      <c r="S10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</row>
    <row r="11" spans="1:29" s="324" customFormat="1">
      <c r="A11" s="26" t="s">
        <v>440</v>
      </c>
      <c r="B11" s="359"/>
      <c r="C11" s="358"/>
      <c r="D11" s="359"/>
      <c r="E11" s="359"/>
      <c r="F11" s="359"/>
      <c r="G11" s="359"/>
      <c r="H11" s="359"/>
      <c r="I11" s="359"/>
      <c r="J11"/>
      <c r="K11"/>
      <c r="L11"/>
      <c r="M11"/>
      <c r="N11"/>
      <c r="O11"/>
      <c r="P11"/>
      <c r="Q11"/>
      <c r="R11"/>
      <c r="S11"/>
    </row>
    <row r="12" spans="1:29">
      <c r="A12" t="s">
        <v>441</v>
      </c>
      <c r="B12" t="s">
        <v>442</v>
      </c>
      <c r="D12" s="147">
        <f>'Current NZ ETS settings'!D10*1000</f>
        <v>12500</v>
      </c>
      <c r="E12" s="147">
        <f>'Current NZ ETS settings'!E10*1000</f>
        <v>11500</v>
      </c>
      <c r="F12" s="147">
        <f>'Current NZ ETS settings'!F10*1000</f>
        <v>10500</v>
      </c>
      <c r="G12" s="14">
        <f ca="1">($C$4-SUM($D$12:$F$12))*G9</f>
        <v>5407.7219818608801</v>
      </c>
      <c r="H12" s="14">
        <f ca="1">($C$4-SUM($D$12:$F$12))*H9</f>
        <v>5262.3460949414948</v>
      </c>
      <c r="I12" s="14">
        <f ca="1">($C$4-SUM($D$12:$F$12))*I9</f>
        <v>4988.8390873314338</v>
      </c>
      <c r="T12" s="88"/>
      <c r="U12" s="88"/>
      <c r="V12" s="88"/>
      <c r="W12" s="88"/>
      <c r="X12" s="88"/>
    </row>
    <row r="13" spans="1:29">
      <c r="A13" t="s">
        <v>443</v>
      </c>
      <c r="B13" t="s">
        <v>444</v>
      </c>
      <c r="C13" s="176"/>
      <c r="D13" s="529">
        <f>D12</f>
        <v>12500</v>
      </c>
      <c r="E13" s="88">
        <f ca="1">($C$4-SUM($D$12))*E10</f>
        <v>7953.6894841983567</v>
      </c>
      <c r="F13" s="88">
        <f ca="1">($C$4-SUM($D$12))*F10</f>
        <v>7849.6233126996167</v>
      </c>
      <c r="G13" s="88">
        <f ca="1">($C$4-SUM($D$12))*G10</f>
        <v>7547.7156130693393</v>
      </c>
      <c r="H13" s="88">
        <f ca="1">($C$4-SUM($D$12))*H10</f>
        <v>7344.8102390235272</v>
      </c>
      <c r="I13" s="88">
        <f ca="1">($C$4-SUM($D$12))*I10</f>
        <v>6963.0685151429734</v>
      </c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>
      <c r="C14" s="100"/>
      <c r="D14" s="88"/>
      <c r="E14" s="88"/>
      <c r="F14" s="88"/>
      <c r="G14" s="88"/>
      <c r="H14" s="88"/>
      <c r="I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>
      <c r="A15" s="1"/>
      <c r="C15" s="176"/>
      <c r="D15" s="176"/>
      <c r="E15" s="176"/>
      <c r="F15" s="176"/>
      <c r="G15" s="176"/>
      <c r="H15" s="176"/>
      <c r="I15" s="176"/>
      <c r="T15" s="176"/>
      <c r="U15" s="176"/>
      <c r="V15" s="176"/>
      <c r="W15" s="176"/>
      <c r="X15" s="176"/>
      <c r="Y15" s="176"/>
      <c r="Z15" s="176"/>
      <c r="AA15" s="88"/>
      <c r="AB15" s="88"/>
      <c r="AC15" s="88"/>
    </row>
    <row r="16" spans="1:29">
      <c r="A16" s="1"/>
    </row>
    <row r="17" spans="1:29">
      <c r="C17" s="88"/>
      <c r="D17" s="88"/>
      <c r="E17" s="88"/>
      <c r="F17" s="88"/>
      <c r="G17" s="88"/>
      <c r="H17" s="88"/>
      <c r="I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>
      <c r="C18" s="37"/>
      <c r="D18" s="37"/>
      <c r="E18" s="37"/>
      <c r="F18" s="37"/>
      <c r="G18" s="37"/>
      <c r="H18" s="37"/>
      <c r="I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>
      <c r="C19" s="37"/>
      <c r="D19" s="37"/>
      <c r="E19" s="37"/>
      <c r="F19" s="37"/>
      <c r="G19" s="37"/>
      <c r="H19" s="37"/>
      <c r="I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>
      <c r="C20" s="37"/>
      <c r="D20" s="37"/>
      <c r="E20" s="37"/>
      <c r="F20" s="37"/>
      <c r="G20" s="37"/>
      <c r="H20" s="37"/>
      <c r="I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>
      <c r="C21" s="37"/>
      <c r="D21" s="37"/>
      <c r="E21" s="37"/>
      <c r="F21" s="37"/>
      <c r="G21" s="37"/>
      <c r="H21" s="37"/>
      <c r="I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>
      <c r="C22" s="37"/>
      <c r="D22" s="37"/>
      <c r="E22" s="37"/>
      <c r="F22" s="37"/>
      <c r="G22" s="37"/>
      <c r="H22" s="37"/>
      <c r="I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>
      <c r="C23" s="37"/>
      <c r="D23" s="37"/>
      <c r="E23" s="37"/>
      <c r="F23" s="37"/>
      <c r="G23" s="37"/>
      <c r="H23" s="37"/>
      <c r="I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>
      <c r="C24" s="37"/>
      <c r="D24" s="37"/>
      <c r="E24" s="37"/>
      <c r="F24" s="37"/>
      <c r="G24" s="37"/>
      <c r="H24" s="37"/>
      <c r="I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>
      <c r="C25" s="37"/>
      <c r="D25" s="37"/>
      <c r="E25" s="37"/>
      <c r="F25" s="37"/>
      <c r="G25" s="37"/>
      <c r="H25" s="37"/>
      <c r="I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>
      <c r="C26" s="37"/>
      <c r="D26" s="37"/>
      <c r="E26" s="37"/>
      <c r="F26" s="37"/>
      <c r="G26" s="37"/>
      <c r="H26" s="37"/>
      <c r="I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>
      <c r="C27" s="37"/>
      <c r="D27" s="37"/>
      <c r="E27" s="37"/>
      <c r="F27" s="37"/>
      <c r="G27" s="37"/>
      <c r="H27" s="37"/>
      <c r="I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>
      <c r="B28" s="1"/>
      <c r="C28" s="100"/>
      <c r="D28" s="100"/>
      <c r="E28" s="100"/>
      <c r="F28" s="100"/>
      <c r="G28" s="100"/>
      <c r="H28" s="100"/>
      <c r="I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</row>
    <row r="29" spans="1:29">
      <c r="C29" s="88"/>
      <c r="D29" s="88"/>
      <c r="E29" s="88"/>
      <c r="F29" s="88"/>
      <c r="G29" s="88"/>
      <c r="H29" s="88"/>
      <c r="I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>
      <c r="C30" s="88"/>
      <c r="D30" s="88"/>
      <c r="E30" s="88"/>
      <c r="F30" s="88"/>
      <c r="G30" s="88"/>
      <c r="H30" s="88"/>
      <c r="I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>
      <c r="A31" s="1"/>
    </row>
    <row r="32" spans="1:29">
      <c r="A32" s="1"/>
      <c r="C32" s="202"/>
      <c r="D32" s="202"/>
      <c r="E32" s="202"/>
      <c r="F32" s="202"/>
      <c r="G32" s="202"/>
      <c r="H32" s="202"/>
      <c r="I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</row>
    <row r="33" spans="1:35">
      <c r="A33" s="1"/>
      <c r="C33" s="202"/>
      <c r="D33" s="202"/>
      <c r="E33" s="202"/>
      <c r="F33" s="202"/>
      <c r="G33" s="202"/>
      <c r="H33" s="202"/>
      <c r="I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</row>
    <row r="34" spans="1:35">
      <c r="A34" s="1"/>
      <c r="C34" s="398"/>
      <c r="D34" s="399"/>
      <c r="E34" s="399"/>
      <c r="F34" s="399"/>
      <c r="G34" s="399"/>
      <c r="H34" s="399"/>
      <c r="I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89"/>
    </row>
    <row r="35" spans="1:35">
      <c r="A35" s="1"/>
      <c r="C35" s="5"/>
      <c r="D35" s="5"/>
      <c r="E35" s="5"/>
      <c r="F35" s="5"/>
      <c r="G35" s="5"/>
      <c r="H35" s="5"/>
      <c r="I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389"/>
    </row>
    <row r="36" spans="1:35">
      <c r="A36" s="1"/>
      <c r="C36" s="5"/>
      <c r="D36" s="5"/>
      <c r="E36" s="5"/>
      <c r="F36" s="5"/>
      <c r="G36" s="5"/>
      <c r="H36" s="5"/>
      <c r="I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389"/>
    </row>
    <row r="37" spans="1:35">
      <c r="A37" s="1"/>
      <c r="C37" s="5"/>
      <c r="D37" s="5"/>
      <c r="E37" s="5"/>
      <c r="F37" s="5"/>
      <c r="G37" s="5"/>
      <c r="H37" s="5"/>
      <c r="I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89"/>
    </row>
    <row r="38" spans="1:35">
      <c r="A38" s="1"/>
      <c r="C38" s="5"/>
      <c r="D38" s="5"/>
      <c r="E38" s="5"/>
      <c r="F38" s="5"/>
      <c r="G38" s="5"/>
      <c r="H38" s="5"/>
      <c r="I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389"/>
    </row>
    <row r="39" spans="1:35">
      <c r="B39" s="1"/>
      <c r="C39" s="5"/>
      <c r="D39" s="389"/>
      <c r="E39" s="389"/>
      <c r="F39" s="389"/>
      <c r="G39" s="389"/>
      <c r="H39" s="389"/>
      <c r="I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</row>
    <row r="40" spans="1:35">
      <c r="A40" s="1"/>
      <c r="C40" s="398"/>
      <c r="D40" s="398"/>
      <c r="E40" s="398"/>
      <c r="F40" s="398"/>
      <c r="G40" s="398"/>
      <c r="H40" s="398"/>
      <c r="I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89"/>
    </row>
    <row r="41" spans="1:35">
      <c r="A41" s="1"/>
      <c r="D41" s="389"/>
      <c r="E41" s="389"/>
      <c r="F41" s="389"/>
      <c r="G41" s="389"/>
      <c r="H41" s="389"/>
      <c r="I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</row>
    <row r="42" spans="1:35">
      <c r="A42" s="1"/>
      <c r="D42" s="389"/>
      <c r="E42" s="389"/>
      <c r="F42" s="389"/>
      <c r="G42" s="389"/>
      <c r="H42" s="389"/>
      <c r="I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</row>
    <row r="43" spans="1:35">
      <c r="A43" s="1"/>
      <c r="D43" s="389"/>
      <c r="E43" s="389"/>
      <c r="F43" s="389"/>
      <c r="G43" s="389"/>
      <c r="H43" s="389"/>
      <c r="I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</row>
    <row r="44" spans="1:35">
      <c r="A44" s="1"/>
      <c r="D44" s="389"/>
      <c r="E44" s="389"/>
      <c r="F44" s="389"/>
      <c r="G44" s="389"/>
      <c r="H44" s="389"/>
      <c r="I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</row>
    <row r="45" spans="1:35">
      <c r="A45" s="1"/>
      <c r="D45" s="389"/>
      <c r="E45" s="389"/>
      <c r="F45" s="389"/>
      <c r="G45" s="389"/>
      <c r="H45" s="389"/>
      <c r="I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</row>
    <row r="46" spans="1:35">
      <c r="A46" s="1"/>
      <c r="D46" s="178"/>
      <c r="E46" s="178"/>
      <c r="F46" s="178"/>
      <c r="G46" s="178"/>
      <c r="H46" s="178"/>
      <c r="I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5">
      <c r="A47" s="1"/>
      <c r="B47" s="1"/>
      <c r="C47" s="1"/>
      <c r="D47" s="178"/>
      <c r="E47" s="178"/>
      <c r="F47" s="178"/>
      <c r="G47" s="178"/>
      <c r="H47" s="178"/>
      <c r="I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5">
      <c r="B48" s="384"/>
      <c r="C48" s="385"/>
      <c r="D48" s="386"/>
      <c r="E48" s="354"/>
      <c r="F48" s="354"/>
      <c r="H48" s="5"/>
      <c r="AH48" s="1"/>
      <c r="AI48" s="1"/>
    </row>
    <row r="49" spans="1:33">
      <c r="B49" s="384"/>
      <c r="C49" s="384"/>
      <c r="D49" s="384"/>
      <c r="E49" s="328"/>
      <c r="F49" s="328"/>
      <c r="H49" s="5"/>
      <c r="AE49" s="5"/>
      <c r="AF49" s="5"/>
      <c r="AG49" s="5"/>
    </row>
    <row r="50" spans="1:33">
      <c r="B50" s="384"/>
      <c r="C50" s="385"/>
      <c r="D50" s="387"/>
      <c r="E50" s="328"/>
      <c r="F50" s="328"/>
      <c r="H50" s="5"/>
      <c r="I50" s="5"/>
      <c r="AE50" s="5"/>
      <c r="AF50" s="5"/>
      <c r="AG50" s="5"/>
    </row>
    <row r="51" spans="1:33">
      <c r="B51" s="388"/>
      <c r="C51" s="385"/>
      <c r="D51" s="385"/>
      <c r="E51" s="341"/>
      <c r="F51" s="341"/>
      <c r="H51" s="5"/>
      <c r="I51" s="5"/>
      <c r="T51" s="5"/>
    </row>
    <row r="52" spans="1:33">
      <c r="B52" s="388"/>
      <c r="C52" s="385"/>
      <c r="D52" s="385"/>
      <c r="E52" s="341"/>
      <c r="F52" s="341"/>
      <c r="H52" s="5"/>
      <c r="I52" s="5"/>
      <c r="T52" s="5"/>
    </row>
    <row r="53" spans="1:33">
      <c r="D53" s="341"/>
      <c r="E53" s="341"/>
      <c r="F53" s="341"/>
      <c r="H53" s="5"/>
      <c r="T53" s="5"/>
    </row>
    <row r="54" spans="1:33">
      <c r="B54" s="1"/>
      <c r="D54" s="341"/>
      <c r="E54" s="341"/>
      <c r="F54" s="341"/>
      <c r="H54" s="5"/>
      <c r="I54" s="5"/>
      <c r="T54" s="5"/>
    </row>
    <row r="55" spans="1:33">
      <c r="D55" s="341"/>
      <c r="E55" s="341"/>
      <c r="F55" s="341"/>
      <c r="H55" s="5"/>
      <c r="I55" s="5"/>
      <c r="T55" s="5"/>
    </row>
    <row r="56" spans="1:33">
      <c r="D56" s="341"/>
      <c r="E56" s="341"/>
      <c r="F56" s="341"/>
      <c r="H56" s="5"/>
      <c r="I56" s="5"/>
      <c r="T56" s="5"/>
    </row>
    <row r="57" spans="1:33">
      <c r="C57" s="1"/>
      <c r="D57" s="171"/>
      <c r="E57" s="171"/>
      <c r="F57" s="171"/>
      <c r="H57" s="5"/>
      <c r="T57" s="5"/>
      <c r="AF57" s="5"/>
    </row>
    <row r="58" spans="1:33">
      <c r="D58" s="341"/>
      <c r="E58" s="341"/>
      <c r="F58" s="341"/>
      <c r="H58" s="5"/>
    </row>
    <row r="59" spans="1:33">
      <c r="B59" s="1"/>
      <c r="C59" s="1"/>
      <c r="D59" s="136"/>
      <c r="E59" s="136"/>
      <c r="F59" s="136"/>
      <c r="G59" s="5"/>
      <c r="H59" s="5"/>
      <c r="I59" s="5"/>
      <c r="T59" s="5"/>
    </row>
    <row r="60" spans="1:33">
      <c r="C60" s="1"/>
      <c r="D60" s="355"/>
      <c r="E60" s="355"/>
      <c r="F60" s="355"/>
      <c r="G60" s="5"/>
      <c r="H60" s="5"/>
      <c r="I60" s="34"/>
      <c r="T60" s="5"/>
    </row>
    <row r="61" spans="1:33">
      <c r="G61" s="5"/>
      <c r="H61" s="5"/>
      <c r="T61" s="5"/>
    </row>
    <row r="62" spans="1:33">
      <c r="H62" s="324"/>
      <c r="I62" s="324"/>
      <c r="T62" s="5"/>
    </row>
    <row r="63" spans="1:33">
      <c r="A63" s="1"/>
      <c r="E63" s="5"/>
      <c r="F63" s="5"/>
      <c r="G63" s="5"/>
      <c r="H63" s="5"/>
      <c r="I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3">
      <c r="D64" s="5"/>
      <c r="T64" s="5"/>
      <c r="U64" s="5"/>
    </row>
    <row r="65" spans="1:21">
      <c r="T65" s="5"/>
      <c r="U65" s="5"/>
    </row>
    <row r="66" spans="1:21">
      <c r="T66" s="5"/>
      <c r="U66" s="5"/>
    </row>
    <row r="67" spans="1:21">
      <c r="T67" s="5"/>
      <c r="U67" s="5"/>
    </row>
    <row r="68" spans="1:21">
      <c r="T68" s="5"/>
      <c r="U68" s="5"/>
    </row>
    <row r="69" spans="1:21">
      <c r="T69" s="5"/>
      <c r="U69" s="5"/>
    </row>
    <row r="70" spans="1:21">
      <c r="C70" s="1"/>
      <c r="D70" s="245"/>
    </row>
    <row r="71" spans="1:21" s="1" customFormat="1">
      <c r="C71" s="169"/>
      <c r="J71"/>
      <c r="K71"/>
      <c r="L71"/>
      <c r="M71"/>
      <c r="N71"/>
      <c r="O71"/>
      <c r="P71"/>
      <c r="Q71"/>
      <c r="R71"/>
      <c r="S71"/>
    </row>
    <row r="72" spans="1:21" s="1" customFormat="1">
      <c r="C72" s="169"/>
      <c r="J72"/>
      <c r="K72"/>
      <c r="L72"/>
      <c r="M72"/>
      <c r="N72"/>
      <c r="O72"/>
      <c r="P72"/>
      <c r="Q72"/>
      <c r="R72"/>
      <c r="S72"/>
    </row>
    <row r="73" spans="1:21" s="1" customFormat="1">
      <c r="J73"/>
      <c r="K73"/>
      <c r="L73"/>
      <c r="M73"/>
      <c r="N73"/>
      <c r="O73"/>
      <c r="P73"/>
      <c r="Q73"/>
      <c r="R73"/>
      <c r="S73"/>
    </row>
    <row r="74" spans="1:21">
      <c r="A74" s="1"/>
      <c r="C74" s="1"/>
      <c r="E74" s="1"/>
      <c r="F74" s="1"/>
      <c r="G74" s="1"/>
      <c r="H74" s="1"/>
      <c r="I74" s="1"/>
    </row>
    <row r="75" spans="1:21">
      <c r="G75" s="1"/>
      <c r="H75" s="174"/>
      <c r="I75" s="174"/>
    </row>
    <row r="76" spans="1:21">
      <c r="E76" s="351"/>
      <c r="F76" s="351"/>
      <c r="G76" s="351"/>
      <c r="H76" s="136"/>
      <c r="I76" s="136"/>
    </row>
    <row r="77" spans="1:21">
      <c r="C77" s="171"/>
      <c r="D77" s="136"/>
      <c r="E77" s="171"/>
      <c r="F77" s="171"/>
      <c r="G77" s="171"/>
      <c r="H77" s="171"/>
      <c r="I77" s="171"/>
    </row>
    <row r="78" spans="1:21">
      <c r="C78" s="171"/>
      <c r="D78" s="171"/>
      <c r="E78" s="171"/>
      <c r="F78" s="171"/>
      <c r="G78" s="171"/>
      <c r="H78" s="171"/>
      <c r="I78" s="171"/>
    </row>
    <row r="79" spans="1:21">
      <c r="C79" s="171"/>
      <c r="D79" s="171"/>
      <c r="E79" s="171"/>
      <c r="F79" s="171"/>
      <c r="G79" s="171"/>
      <c r="H79" s="171"/>
      <c r="I79" s="171"/>
    </row>
    <row r="80" spans="1:21">
      <c r="D80" s="171"/>
      <c r="E80" s="171"/>
      <c r="F80" s="171"/>
      <c r="G80" s="171"/>
      <c r="H80" s="171"/>
      <c r="I80" s="171"/>
    </row>
    <row r="81" spans="1:19">
      <c r="A81" s="1"/>
      <c r="C81" s="1"/>
      <c r="E81" s="1"/>
      <c r="F81" s="1"/>
      <c r="G81" s="1"/>
      <c r="H81" s="1"/>
      <c r="I81" s="1"/>
    </row>
    <row r="82" spans="1:19">
      <c r="E82" s="1"/>
      <c r="F82" s="1"/>
      <c r="G82" s="1"/>
      <c r="H82" s="174"/>
      <c r="I82" s="174"/>
    </row>
    <row r="83" spans="1:19">
      <c r="E83" s="351"/>
      <c r="F83" s="351"/>
      <c r="G83" s="351"/>
      <c r="H83" s="136"/>
      <c r="I83" s="136"/>
    </row>
    <row r="84" spans="1:19">
      <c r="C84" s="5"/>
      <c r="D84" s="136"/>
      <c r="E84" s="171"/>
      <c r="F84" s="171"/>
      <c r="G84" s="171"/>
      <c r="H84" s="171"/>
      <c r="I84" s="171"/>
    </row>
    <row r="85" spans="1:19">
      <c r="C85" s="5"/>
      <c r="D85" s="171"/>
      <c r="E85" s="171"/>
      <c r="F85" s="171"/>
      <c r="G85" s="171"/>
      <c r="H85" s="171"/>
      <c r="I85" s="171"/>
    </row>
    <row r="86" spans="1:19">
      <c r="B86" s="1"/>
      <c r="C86" s="5"/>
      <c r="D86" s="171"/>
      <c r="E86" s="171"/>
      <c r="F86" s="171"/>
      <c r="G86" s="171"/>
      <c r="H86" s="171"/>
      <c r="I86" s="171"/>
    </row>
    <row r="87" spans="1:19">
      <c r="B87" s="1"/>
      <c r="C87" s="1"/>
      <c r="E87" s="1"/>
      <c r="F87" s="1"/>
      <c r="G87" s="1"/>
      <c r="H87" s="174"/>
      <c r="I87" s="174"/>
    </row>
    <row r="88" spans="1:19" s="1" customFormat="1">
      <c r="A88" s="245"/>
      <c r="D88"/>
      <c r="J88"/>
      <c r="K88"/>
      <c r="L88"/>
      <c r="M88"/>
      <c r="N88"/>
      <c r="O88"/>
      <c r="P88"/>
      <c r="Q88"/>
      <c r="R88"/>
      <c r="S88"/>
    </row>
    <row r="89" spans="1:19">
      <c r="E89" s="174"/>
      <c r="F89" s="174"/>
      <c r="G89" s="174"/>
      <c r="H89" s="174"/>
      <c r="I89" s="174"/>
    </row>
    <row r="90" spans="1:19" s="1" customFormat="1">
      <c r="B90"/>
      <c r="C90"/>
      <c r="D90"/>
      <c r="E90" s="352"/>
      <c r="F90" s="136"/>
      <c r="G90" s="136"/>
      <c r="H90" s="136"/>
      <c r="I90" s="136"/>
      <c r="J90"/>
      <c r="K90"/>
      <c r="L90"/>
      <c r="M90"/>
      <c r="N90"/>
      <c r="O90"/>
      <c r="P90"/>
      <c r="Q90"/>
      <c r="R90"/>
      <c r="S90"/>
    </row>
    <row r="91" spans="1:19">
      <c r="C91" s="5"/>
      <c r="D91" s="171"/>
      <c r="E91" s="171"/>
      <c r="F91" s="171"/>
      <c r="G91" s="171"/>
      <c r="H91" s="171"/>
      <c r="I91" s="171"/>
    </row>
    <row r="92" spans="1:19">
      <c r="C92" s="5"/>
      <c r="D92" s="171"/>
      <c r="E92" s="171"/>
      <c r="F92" s="171"/>
      <c r="G92" s="171"/>
      <c r="H92" s="171"/>
      <c r="I92" s="171"/>
    </row>
    <row r="93" spans="1:19">
      <c r="C93" s="5"/>
      <c r="D93" s="5"/>
      <c r="E93" s="5"/>
      <c r="F93" s="5"/>
      <c r="G93" s="5"/>
      <c r="H93" s="5"/>
      <c r="I93" s="5"/>
    </row>
    <row r="94" spans="1:19">
      <c r="E94" s="237"/>
      <c r="F94" s="237"/>
      <c r="G94" s="237"/>
      <c r="H94" s="237"/>
      <c r="I94" s="237"/>
    </row>
    <row r="95" spans="1:19">
      <c r="A95" s="1"/>
      <c r="C95" s="1"/>
    </row>
    <row r="96" spans="1:19">
      <c r="D96" s="353"/>
      <c r="E96" s="351"/>
      <c r="F96" s="351"/>
      <c r="G96" s="351"/>
      <c r="H96" s="351"/>
      <c r="I96" s="351"/>
    </row>
    <row r="97" spans="1:9">
      <c r="C97" s="5"/>
      <c r="D97" s="136"/>
      <c r="E97" s="136"/>
      <c r="F97" s="136"/>
      <c r="G97" s="136"/>
      <c r="H97" s="136"/>
      <c r="I97" s="136"/>
    </row>
    <row r="98" spans="1:9">
      <c r="C98" s="5"/>
      <c r="D98" s="171"/>
      <c r="E98" s="171"/>
      <c r="F98" s="171"/>
      <c r="G98" s="171"/>
      <c r="H98" s="171"/>
      <c r="I98" s="171"/>
    </row>
    <row r="99" spans="1:9">
      <c r="C99" s="5"/>
      <c r="D99" s="5"/>
      <c r="E99" s="5"/>
      <c r="F99" s="5"/>
      <c r="G99" s="5"/>
      <c r="H99" s="5"/>
      <c r="I99" s="5"/>
    </row>
    <row r="101" spans="1:9">
      <c r="A101" s="1"/>
      <c r="C101" s="1"/>
    </row>
    <row r="102" spans="1:9">
      <c r="D102" s="353"/>
      <c r="E102" s="351"/>
      <c r="F102" s="351"/>
      <c r="G102" s="351"/>
      <c r="H102" s="351"/>
      <c r="I102" s="351"/>
    </row>
    <row r="103" spans="1:9">
      <c r="C103" s="5"/>
      <c r="D103" s="136"/>
      <c r="E103" s="136"/>
      <c r="F103" s="136"/>
      <c r="G103" s="136"/>
      <c r="H103" s="136"/>
      <c r="I103" s="136"/>
    </row>
    <row r="104" spans="1:9">
      <c r="C104" s="5"/>
      <c r="D104" s="171"/>
      <c r="E104" s="171"/>
      <c r="F104" s="171"/>
      <c r="G104" s="171"/>
      <c r="H104" s="171"/>
      <c r="I104" s="171"/>
    </row>
    <row r="105" spans="1:9">
      <c r="C105" s="5"/>
      <c r="D105" s="5"/>
      <c r="E105" s="5"/>
      <c r="F105" s="5"/>
      <c r="G105" s="5"/>
      <c r="H105" s="5"/>
      <c r="I105" s="5"/>
    </row>
    <row r="111" spans="1:9">
      <c r="B111" s="177"/>
      <c r="C111" s="178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9" spans="3:4">
      <c r="C139" s="14"/>
      <c r="D139" s="14"/>
    </row>
    <row r="140" spans="3:4">
      <c r="C140" s="5"/>
      <c r="D140" s="5"/>
    </row>
  </sheetData>
  <conditionalFormatting sqref="D14:AC14 AA15:AC15">
    <cfRule type="cellIs" dxfId="8" priority="4" operator="lessThan">
      <formula>0</formula>
    </cfRule>
  </conditionalFormatting>
  <conditionalFormatting sqref="D29:AC30">
    <cfRule type="cellIs" dxfId="7" priority="3" operator="lessThan">
      <formula>0</formula>
    </cfRule>
  </conditionalFormatting>
  <conditionalFormatting sqref="E13:I13">
    <cfRule type="cellIs" dxfId="6" priority="2" operator="lessThan">
      <formula>0</formula>
    </cfRule>
  </conditionalFormatting>
  <conditionalFormatting sqref="G12:AC13">
    <cfRule type="cellIs" dxfId="5" priority="1" operator="lessThan">
      <formula>0</formula>
    </cfRule>
  </conditionalFormatting>
  <dataValidations count="1">
    <dataValidation type="list" allowBlank="1" showInputMessage="1" showErrorMessage="1" sqref="C71:C72" xr:uid="{5EF05102-1B69-4505-A0D1-41A58E426D3C}">
      <formula1>"Small, Central, Large"</formula1>
    </dataValidation>
  </dataValidations>
  <pageMargins left="0.7" right="0.7" top="0.75" bottom="0.75" header="0.3" footer="0.3"/>
  <pageSetup paperSize="9" orientation="portrait" r:id="rId1"/>
  <headerFooter>
    <oddHeader>&amp;C&amp;"Calibri"&amp;9&amp;K000000 [IN-CONFIDENCE]&amp;1#_x000D_</oddHeader>
    <oddFooter>&amp;C_x000D_&amp;1#&amp;"Calibri"&amp;9&amp;K000000 [IN-CONFIDENCE]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85B672-B257-4959-BF91-FDC7346CDEA9}">
          <x14:formula1>
            <xm:f>'5a. Total surplus estimate'!$B$5:$D$5</xm:f>
          </x14:formula1>
          <xm:sqref>B4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E5C0-D0D5-4549-B66A-30FAD5C37F30}">
  <sheetPr>
    <tabColor theme="9" tint="0.79998168889431442"/>
  </sheetPr>
  <dimension ref="A1:T32"/>
  <sheetViews>
    <sheetView zoomScale="85" zoomScaleNormal="85" workbookViewId="0">
      <pane ySplit="1" topLeftCell="A2" activePane="bottomLeft" state="frozen"/>
      <selection pane="bottomLeft" activeCell="N27" sqref="N27"/>
      <selection activeCell="C22" sqref="C22"/>
    </sheetView>
  </sheetViews>
  <sheetFormatPr defaultRowHeight="15"/>
  <cols>
    <col min="1" max="1" width="14.42578125" customWidth="1"/>
    <col min="2" max="2" width="39.140625" customWidth="1"/>
    <col min="3" max="3" width="14.5703125" customWidth="1"/>
    <col min="4" max="9" width="11.140625" customWidth="1"/>
    <col min="11" max="11" width="10.28515625" bestFit="1" customWidth="1"/>
  </cols>
  <sheetData>
    <row r="1" spans="1:10" s="1" customFormat="1">
      <c r="A1" s="1" t="s">
        <v>157</v>
      </c>
      <c r="C1" s="1">
        <v>2025</v>
      </c>
      <c r="D1" s="1">
        <v>2026</v>
      </c>
      <c r="E1" s="1">
        <v>2027</v>
      </c>
      <c r="F1" s="1">
        <v>2028</v>
      </c>
      <c r="G1" s="1">
        <v>2029</v>
      </c>
      <c r="H1" s="1">
        <v>2030</v>
      </c>
    </row>
    <row r="2" spans="1:10" s="44" customFormat="1">
      <c r="A2" s="43" t="s">
        <v>445</v>
      </c>
    </row>
    <row r="3" spans="1:10">
      <c r="B3" t="s">
        <v>446</v>
      </c>
      <c r="C3" s="88">
        <f>'Current NZ ETS settings'!D7*1000</f>
        <v>25600</v>
      </c>
      <c r="D3" s="88">
        <f>'Current NZ ETS settings'!E7*1000</f>
        <v>23400</v>
      </c>
      <c r="E3" s="88">
        <f>'Current NZ ETS settings'!F7*1000</f>
        <v>21400</v>
      </c>
      <c r="F3" s="88">
        <f>'Current NZ ETS settings'!G7*1000</f>
        <v>19400</v>
      </c>
      <c r="G3" s="88">
        <f>'Current NZ ETS settings'!H7*1000</f>
        <v>17400</v>
      </c>
      <c r="H3" s="88">
        <f>'Current NZ ETS settings'!I7*1000</f>
        <v>14500</v>
      </c>
      <c r="I3" s="88"/>
      <c r="J3" s="88"/>
    </row>
    <row r="4" spans="1:10">
      <c r="B4" t="s">
        <v>447</v>
      </c>
      <c r="C4" s="88">
        <f>'Current NZ ETS settings'!D8*1000</f>
        <v>800</v>
      </c>
      <c r="D4" s="88">
        <f>'Current NZ ETS settings'!E8*1000</f>
        <v>700</v>
      </c>
      <c r="E4" s="88">
        <f>'Current NZ ETS settings'!F8*1000</f>
        <v>700</v>
      </c>
      <c r="F4" s="88">
        <f>'Current NZ ETS settings'!G8*1000</f>
        <v>700</v>
      </c>
      <c r="G4" s="88">
        <f>'Current NZ ETS settings'!H8*1000</f>
        <v>700</v>
      </c>
      <c r="H4" s="88">
        <f>'Current NZ ETS settings'!I8*1000</f>
        <v>600</v>
      </c>
      <c r="I4" s="88"/>
      <c r="J4" s="88"/>
    </row>
    <row r="5" spans="1:10">
      <c r="B5" t="s">
        <v>448</v>
      </c>
      <c r="C5" s="88">
        <f>'Current NZ ETS settings'!D9*1000</f>
        <v>6000</v>
      </c>
      <c r="D5" s="88">
        <f>'Current NZ ETS settings'!E9*1000</f>
        <v>5700</v>
      </c>
      <c r="E5" s="88">
        <f>'Current NZ ETS settings'!F9*1000</f>
        <v>5700</v>
      </c>
      <c r="F5" s="88">
        <f>'Current NZ ETS settings'!G9*1000</f>
        <v>5600</v>
      </c>
      <c r="G5" s="88">
        <f>'Current NZ ETS settings'!H9*1000</f>
        <v>5500</v>
      </c>
      <c r="H5" s="88">
        <f>'Current NZ ETS settings'!I9*1000</f>
        <v>5100</v>
      </c>
      <c r="I5" s="88"/>
      <c r="J5" s="88"/>
    </row>
    <row r="6" spans="1:10">
      <c r="B6" t="s">
        <v>449</v>
      </c>
      <c r="C6" s="88">
        <f>'Current NZ ETS settings'!D11*1000</f>
        <v>300</v>
      </c>
      <c r="D6" s="88">
        <f>'Current NZ ETS settings'!E11*1000</f>
        <v>300</v>
      </c>
      <c r="E6" s="88">
        <f>'Current NZ ETS settings'!F11*1000</f>
        <v>300</v>
      </c>
      <c r="F6" s="88">
        <f>'Current NZ ETS settings'!G11*1000</f>
        <v>300</v>
      </c>
      <c r="G6" s="88">
        <f>'Current NZ ETS settings'!H11*1000</f>
        <v>200</v>
      </c>
      <c r="H6" s="88">
        <f>'Current NZ ETS settings'!I11*1000</f>
        <v>0</v>
      </c>
      <c r="I6" s="88"/>
      <c r="J6" s="88"/>
    </row>
    <row r="7" spans="1:10">
      <c r="C7" s="88"/>
      <c r="D7" s="88"/>
      <c r="E7" s="88"/>
      <c r="F7" s="88"/>
      <c r="G7" s="88"/>
      <c r="H7" s="88"/>
      <c r="I7" s="88"/>
      <c r="J7" s="88"/>
    </row>
    <row r="8" spans="1:10" s="16" customFormat="1">
      <c r="A8" s="26" t="s">
        <v>450</v>
      </c>
      <c r="C8" s="131"/>
      <c r="D8" s="131"/>
      <c r="E8" s="131"/>
      <c r="F8" s="131"/>
      <c r="G8" s="131"/>
      <c r="H8" s="131"/>
      <c r="I8" s="131"/>
      <c r="J8" s="131"/>
    </row>
    <row r="9" spans="1:10">
      <c r="B9" t="s">
        <v>446</v>
      </c>
      <c r="C9" s="88">
        <f>C3</f>
        <v>25600</v>
      </c>
      <c r="D9" s="14">
        <f>'2. NZ ETS cap'!E35</f>
        <v>23222.629702940278</v>
      </c>
      <c r="E9" s="14">
        <f>'2. NZ ETS cap'!F35</f>
        <v>20824.005765599541</v>
      </c>
      <c r="F9" s="14">
        <f>'2. NZ ETS cap'!G35</f>
        <v>17595.142962500082</v>
      </c>
      <c r="G9" s="14">
        <f>'2. NZ ETS cap'!H35</f>
        <v>15112.552536963478</v>
      </c>
      <c r="H9" s="14">
        <f>'2. NZ ETS cap'!I35</f>
        <v>12622.786403881386</v>
      </c>
      <c r="I9" s="14"/>
      <c r="J9" s="14"/>
    </row>
    <row r="10" spans="1:10">
      <c r="B10" t="s">
        <v>447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/>
      <c r="J10" s="14"/>
    </row>
    <row r="11" spans="1:10">
      <c r="B11" t="s">
        <v>448</v>
      </c>
      <c r="C11" s="14">
        <f>'4. Industrial free allocation'!E62</f>
        <v>5132.0717393568539</v>
      </c>
      <c r="D11" s="14">
        <f>'4. Industrial free allocation'!F62</f>
        <v>5149.0185565799056</v>
      </c>
      <c r="E11" s="14">
        <f>'4. Industrial free allocation'!G62</f>
        <v>5082.8568791305734</v>
      </c>
      <c r="F11" s="14">
        <f>'4. Industrial free allocation'!H62</f>
        <v>4550.7249875472426</v>
      </c>
      <c r="G11" s="14">
        <f>'4. Industrial free allocation'!I62</f>
        <v>4490.2458736849112</v>
      </c>
      <c r="H11" s="14">
        <f>'4. Industrial free allocation'!J62</f>
        <v>3975.16167286258</v>
      </c>
      <c r="I11" s="14"/>
      <c r="J11" s="14"/>
    </row>
    <row r="12" spans="1:10">
      <c r="B12" t="s">
        <v>451</v>
      </c>
      <c r="C12" s="14"/>
      <c r="D12" s="14"/>
      <c r="E12" s="14"/>
      <c r="F12" s="14"/>
      <c r="G12" s="14"/>
      <c r="H12" s="14"/>
      <c r="I12" s="14"/>
      <c r="J12" s="14"/>
    </row>
    <row r="13" spans="1:10">
      <c r="C13" s="14"/>
      <c r="D13" s="14"/>
      <c r="E13" s="14"/>
      <c r="F13" s="14"/>
      <c r="G13" s="14"/>
      <c r="H13" s="14"/>
      <c r="I13" s="14"/>
      <c r="J13" s="14"/>
    </row>
    <row r="14" spans="1:10">
      <c r="B14" s="1" t="s">
        <v>452</v>
      </c>
      <c r="C14" s="7"/>
      <c r="D14" s="7"/>
      <c r="E14" s="7"/>
      <c r="F14" s="7"/>
      <c r="G14" s="7"/>
      <c r="H14" s="7"/>
      <c r="I14" s="7"/>
      <c r="J14" s="7"/>
    </row>
    <row r="15" spans="1:10" s="41" customFormat="1">
      <c r="A15" s="46" t="s">
        <v>453</v>
      </c>
      <c r="C15" s="181"/>
      <c r="D15" s="181"/>
      <c r="E15" s="181"/>
      <c r="F15" s="181"/>
      <c r="G15" s="181"/>
      <c r="H15" s="181"/>
      <c r="I15" s="181"/>
      <c r="J15" s="181"/>
    </row>
    <row r="16" spans="1:10">
      <c r="B16" t="s">
        <v>446</v>
      </c>
      <c r="C16" s="14">
        <f t="shared" ref="C16:H16" si="0">C3-C9</f>
        <v>0</v>
      </c>
      <c r="D16" s="14">
        <f t="shared" si="0"/>
        <v>177.37029705972236</v>
      </c>
      <c r="E16" s="14">
        <f t="shared" si="0"/>
        <v>575.99423440045939</v>
      </c>
      <c r="F16" s="14">
        <f t="shared" si="0"/>
        <v>1804.8570374999181</v>
      </c>
      <c r="G16" s="14">
        <f t="shared" si="0"/>
        <v>2287.4474630365221</v>
      </c>
      <c r="H16" s="14">
        <f t="shared" si="0"/>
        <v>1877.2135961186141</v>
      </c>
      <c r="I16" s="517"/>
      <c r="J16" s="517"/>
    </row>
    <row r="17" spans="1:20">
      <c r="B17" t="s">
        <v>447</v>
      </c>
      <c r="C17" s="636">
        <f t="shared" ref="C17:H19" si="1">C10-C4</f>
        <v>-800</v>
      </c>
      <c r="D17" s="636">
        <f t="shared" si="1"/>
        <v>-700</v>
      </c>
      <c r="E17" s="636">
        <f t="shared" si="1"/>
        <v>-700</v>
      </c>
      <c r="F17" s="636">
        <f t="shared" si="1"/>
        <v>-700</v>
      </c>
      <c r="G17" s="636">
        <f t="shared" si="1"/>
        <v>-700</v>
      </c>
      <c r="H17" s="637">
        <f t="shared" si="1"/>
        <v>-600</v>
      </c>
      <c r="I17" s="517"/>
      <c r="J17" s="517"/>
    </row>
    <row r="18" spans="1:20">
      <c r="B18" t="s">
        <v>448</v>
      </c>
      <c r="C18" s="637">
        <f t="shared" si="1"/>
        <v>-867.92826064314613</v>
      </c>
      <c r="D18" s="637">
        <f t="shared" si="1"/>
        <v>-550.98144342009437</v>
      </c>
      <c r="E18" s="637">
        <f t="shared" si="1"/>
        <v>-617.14312086942664</v>
      </c>
      <c r="F18" s="637">
        <f t="shared" si="1"/>
        <v>-1049.2750124527574</v>
      </c>
      <c r="G18" s="637">
        <f t="shared" si="1"/>
        <v>-1009.7541263150888</v>
      </c>
      <c r="H18" s="637">
        <f t="shared" si="1"/>
        <v>-1124.83832713742</v>
      </c>
      <c r="I18" s="517"/>
      <c r="J18" s="508" t="s">
        <v>454</v>
      </c>
    </row>
    <row r="19" spans="1:20">
      <c r="B19" t="s">
        <v>455</v>
      </c>
      <c r="C19" s="636">
        <f t="shared" si="1"/>
        <v>-300</v>
      </c>
      <c r="D19" s="636">
        <f t="shared" si="1"/>
        <v>-300</v>
      </c>
      <c r="E19" s="636">
        <f t="shared" si="1"/>
        <v>-300</v>
      </c>
      <c r="F19" s="636">
        <f t="shared" si="1"/>
        <v>-300</v>
      </c>
      <c r="G19" s="636">
        <f t="shared" si="1"/>
        <v>-200</v>
      </c>
      <c r="H19" s="143">
        <f t="shared" si="1"/>
        <v>0</v>
      </c>
      <c r="I19" s="517"/>
      <c r="J19" s="517"/>
    </row>
    <row r="20" spans="1:20">
      <c r="B20" s="516" t="s">
        <v>250</v>
      </c>
      <c r="C20" s="637">
        <f>SUM(C16:C19)</f>
        <v>-1967.9282606431461</v>
      </c>
      <c r="D20" s="637">
        <f t="shared" ref="D20:H20" si="2">SUM(D16:D19)</f>
        <v>-1373.611146360372</v>
      </c>
      <c r="E20" s="637">
        <f t="shared" si="2"/>
        <v>-1041.1488864689672</v>
      </c>
      <c r="F20" s="637">
        <f t="shared" si="2"/>
        <v>-244.41797495283936</v>
      </c>
      <c r="G20" s="143">
        <f t="shared" si="2"/>
        <v>377.6933367214333</v>
      </c>
      <c r="H20" s="143">
        <f t="shared" si="2"/>
        <v>152.37526898119404</v>
      </c>
      <c r="I20" s="246"/>
      <c r="J20" s="246"/>
    </row>
    <row r="21" spans="1:20">
      <c r="B21" s="182" t="s">
        <v>456</v>
      </c>
      <c r="C21" s="638">
        <f>SUM(C20:E20)</f>
        <v>-4382.6882934724854</v>
      </c>
      <c r="F21" s="246"/>
      <c r="G21" s="246"/>
      <c r="H21" s="246"/>
      <c r="I21" s="246"/>
      <c r="J21" s="246"/>
    </row>
    <row r="22" spans="1:20">
      <c r="A22" s="1"/>
      <c r="F22" s="182"/>
      <c r="G22" s="182"/>
      <c r="H22" s="182"/>
      <c r="I22" s="182"/>
      <c r="J22" s="182"/>
    </row>
    <row r="23" spans="1:20" s="520" customFormat="1">
      <c r="A23" s="518" t="s">
        <v>457</v>
      </c>
      <c r="B23" s="518"/>
      <c r="C23" s="519"/>
      <c r="D23" s="519"/>
      <c r="E23" s="519"/>
      <c r="F23" s="519"/>
      <c r="G23" s="519"/>
      <c r="H23" s="519"/>
      <c r="I23" s="519"/>
      <c r="J23" s="519"/>
    </row>
    <row r="24" spans="1:20">
      <c r="A24" s="1" t="s">
        <v>458</v>
      </c>
      <c r="B24" s="1"/>
      <c r="C24" s="182"/>
      <c r="D24" s="182"/>
      <c r="E24" s="182"/>
      <c r="F24" s="182"/>
      <c r="G24" s="182"/>
      <c r="H24" s="182"/>
      <c r="I24" s="182"/>
      <c r="J24" s="182"/>
    </row>
    <row r="25" spans="1:20">
      <c r="B25" t="s">
        <v>459</v>
      </c>
      <c r="C25" s="33"/>
      <c r="D25" s="33"/>
      <c r="E25" s="33"/>
      <c r="F25" s="33">
        <f>'2. NZ ETS cap'!G28/SUM('2. NZ ETS cap'!$G$28:$I$28)</f>
        <v>0.3453447884439268</v>
      </c>
      <c r="G25" s="33">
        <f>'2. NZ ETS cap'!H28/SUM('2. NZ ETS cap'!$G$28:$I$28)</f>
        <v>0.33606087830922954</v>
      </c>
      <c r="H25" s="33">
        <f>'2. NZ ETS cap'!I28/SUM('2. NZ ETS cap'!$G$28:$I$28)</f>
        <v>0.31859433324684361</v>
      </c>
      <c r="I25" s="175"/>
      <c r="J25" s="175"/>
      <c r="S25" s="6"/>
    </row>
    <row r="26" spans="1:20" ht="17.25" customHeight="1">
      <c r="A26" s="1"/>
      <c r="B26" s="521" t="s">
        <v>460</v>
      </c>
      <c r="D26" s="66"/>
      <c r="E26" s="246"/>
      <c r="F26" s="639">
        <f>SUM($C$21)*F$25</f>
        <v>-1513.5385615249299</v>
      </c>
      <c r="G26" s="639">
        <f>SUM($C$21)*G$25</f>
        <v>-1472.8500772599418</v>
      </c>
      <c r="H26" s="639">
        <f>SUM($C$21)*H$25</f>
        <v>-1396.2996546876134</v>
      </c>
      <c r="I26" s="136"/>
      <c r="J26" s="136"/>
      <c r="K26" s="182"/>
      <c r="S26" s="182"/>
      <c r="T26" s="9"/>
    </row>
    <row r="27" spans="1:20" ht="17.25" customHeight="1"/>
    <row r="28" spans="1:20" ht="17.25" customHeight="1">
      <c r="A28" s="1" t="s">
        <v>461</v>
      </c>
      <c r="B28" s="1"/>
      <c r="C28" s="182"/>
      <c r="D28" s="66"/>
      <c r="E28" s="246"/>
      <c r="F28" s="136"/>
      <c r="G28" s="136"/>
      <c r="H28" s="136"/>
      <c r="I28" s="136"/>
      <c r="J28" s="136"/>
      <c r="K28" s="182"/>
      <c r="S28" s="182"/>
      <c r="T28" s="9"/>
    </row>
    <row r="29" spans="1:20">
      <c r="B29" t="s">
        <v>462</v>
      </c>
      <c r="D29" s="33">
        <f>'2. NZ ETS cap'!E28/SUM('2. NZ ETS cap'!$E$28:$I$28)</f>
        <v>0.21120340666107854</v>
      </c>
      <c r="E29" s="33">
        <f>'2. NZ ETS cap'!F28/SUM('2. NZ ETS cap'!$E$28:$I$28)</f>
        <v>0.20844001867838496</v>
      </c>
      <c r="F29" s="33">
        <f>'2. NZ ETS cap'!G28/SUM('2. NZ ETS cap'!$E$28:$I$28)</f>
        <v>0.20042311849818503</v>
      </c>
      <c r="G29" s="33">
        <f>'2. NZ ETS cap'!H28/SUM('2. NZ ETS cap'!$E$28:$I$28)</f>
        <v>0.1950351402129559</v>
      </c>
      <c r="H29" s="33">
        <f>'2. NZ ETS cap'!I28/SUM('2. NZ ETS cap'!$E$28:$I$28)</f>
        <v>0.18489831594939568</v>
      </c>
      <c r="I29" s="174"/>
      <c r="J29" s="174"/>
    </row>
    <row r="30" spans="1:20">
      <c r="B30" t="s">
        <v>463</v>
      </c>
      <c r="D30" s="640">
        <f>$C$20*D29</f>
        <v>-415.63315271244335</v>
      </c>
      <c r="E30" s="640">
        <f>$C$20*E29</f>
        <v>-410.19500340617901</v>
      </c>
      <c r="F30" s="640">
        <f>$C$20*F29</f>
        <v>-394.41831897880843</v>
      </c>
      <c r="G30" s="640">
        <f>$C$20*G29</f>
        <v>-383.81516424357443</v>
      </c>
      <c r="H30" s="640">
        <f>$C$20*H29</f>
        <v>-363.86662130214114</v>
      </c>
      <c r="I30" s="136"/>
      <c r="J30" s="136"/>
    </row>
    <row r="31" spans="1:20">
      <c r="B31" s="1"/>
    </row>
    <row r="32" spans="1:20" s="245" customFormat="1">
      <c r="C32" s="381"/>
      <c r="I32" s="381"/>
      <c r="J32" s="381"/>
    </row>
  </sheetData>
  <phoneticPr fontId="5" type="noConversion"/>
  <pageMargins left="0.7" right="0.7" top="0.75" bottom="0.75" header="0.3" footer="0.3"/>
  <pageSetup paperSize="9" orientation="portrait" r:id="rId1"/>
  <headerFooter>
    <oddHeader>&amp;C&amp;"Calibri"&amp;9&amp;K000000 [IN-CONFIDENCE]&amp;1#_x000D_</oddHeader>
    <oddFooter>&amp;C_x000D_&amp;1#&amp;"Calibri"&amp;9&amp;K000000 [IN-CONFIDENCE]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1ED1-AFFC-4A2E-AC7F-65FC442C5109}">
  <sheetPr>
    <tabColor theme="6" tint="0.39997558519241921"/>
  </sheetPr>
  <dimension ref="A1:U114"/>
  <sheetViews>
    <sheetView zoomScale="70" zoomScaleNormal="70" workbookViewId="0">
      <pane ySplit="1" topLeftCell="A2" activePane="bottomLeft" state="frozen"/>
      <selection pane="bottomLeft" activeCell="C45" sqref="C45"/>
      <selection activeCell="C22" sqref="C22"/>
    </sheetView>
  </sheetViews>
  <sheetFormatPr defaultRowHeight="15"/>
  <cols>
    <col min="1" max="1" width="17" customWidth="1"/>
    <col min="2" max="2" width="39.42578125" customWidth="1"/>
    <col min="3" max="3" width="14.140625" customWidth="1"/>
    <col min="4" max="8" width="14.28515625" bestFit="1" customWidth="1"/>
    <col min="9" max="9" width="14.42578125" customWidth="1"/>
    <col min="11" max="11" width="32.85546875" customWidth="1"/>
    <col min="12" max="12" width="27.7109375" customWidth="1"/>
    <col min="13" max="13" width="12" customWidth="1"/>
    <col min="14" max="14" width="11.85546875" customWidth="1"/>
    <col min="15" max="15" width="11.85546875" bestFit="1" customWidth="1"/>
    <col min="16" max="16" width="12.85546875" customWidth="1"/>
    <col min="17" max="17" width="16.42578125" customWidth="1"/>
    <col min="18" max="18" width="12.7109375" customWidth="1"/>
    <col min="19" max="19" width="11.28515625" customWidth="1"/>
  </cols>
  <sheetData>
    <row r="1" spans="1:20">
      <c r="A1" s="1" t="s">
        <v>464</v>
      </c>
      <c r="C1" s="68">
        <v>2025</v>
      </c>
      <c r="D1" s="68">
        <v>2026</v>
      </c>
      <c r="E1" s="68">
        <v>2027</v>
      </c>
      <c r="F1" s="68">
        <v>2028</v>
      </c>
      <c r="G1" s="68">
        <v>2029</v>
      </c>
      <c r="H1" s="1">
        <v>2030</v>
      </c>
      <c r="I1" s="70" t="s">
        <v>465</v>
      </c>
    </row>
    <row r="2" spans="1:20" s="41" customFormat="1">
      <c r="A2" s="46" t="s">
        <v>466</v>
      </c>
      <c r="C2" s="376"/>
      <c r="D2" s="377"/>
      <c r="E2" s="377"/>
      <c r="F2" s="377"/>
      <c r="G2" s="377"/>
      <c r="H2" s="377"/>
      <c r="I2" s="46"/>
    </row>
    <row r="3" spans="1:20" ht="15.75" thickBot="1">
      <c r="A3" t="s">
        <v>467</v>
      </c>
      <c r="C3" s="576"/>
      <c r="D3" s="576" t="s">
        <v>103</v>
      </c>
      <c r="E3" s="577"/>
      <c r="F3" s="186" t="s">
        <v>468</v>
      </c>
      <c r="G3" s="187"/>
      <c r="H3" s="188"/>
      <c r="I3" s="578" t="s">
        <v>469</v>
      </c>
    </row>
    <row r="4" spans="1:20">
      <c r="A4" s="180" t="s">
        <v>470</v>
      </c>
      <c r="B4" s="71" t="s">
        <v>17</v>
      </c>
      <c r="C4" s="84">
        <f>'Current NZ ETS settings'!D5*1000</f>
        <v>68500</v>
      </c>
      <c r="D4" s="84">
        <f>'Current NZ ETS settings'!E5*1000</f>
        <v>65700</v>
      </c>
      <c r="E4" s="84">
        <f>'Current NZ ETS settings'!F5*1000</f>
        <v>63400</v>
      </c>
      <c r="F4" s="361">
        <f>'2. NZ ETS cap'!G6</f>
        <v>60439.90064234598</v>
      </c>
      <c r="G4" s="361">
        <f>'2. NZ ETS cap'!H6</f>
        <v>57862.514098637184</v>
      </c>
      <c r="H4" s="361">
        <f>'2. NZ ETS cap'!I6</f>
        <v>55179.666499609288</v>
      </c>
      <c r="I4" s="85">
        <f t="shared" ref="I4:I14" si="0">SUM(D4:H4)</f>
        <v>302582.08124059247</v>
      </c>
      <c r="J4" s="7"/>
      <c r="K4" s="363"/>
      <c r="L4" s="364"/>
      <c r="M4" s="364"/>
      <c r="N4" s="365"/>
    </row>
    <row r="5" spans="1:20" ht="15.75" thickBot="1">
      <c r="A5" s="745" t="s">
        <v>471</v>
      </c>
      <c r="B5" s="24" t="s">
        <v>472</v>
      </c>
      <c r="C5" s="84">
        <f>'Current NZ ETS settings'!D6*1000</f>
        <v>42900</v>
      </c>
      <c r="D5" s="84">
        <f>'Current NZ ETS settings'!E6*1000</f>
        <v>42300</v>
      </c>
      <c r="E5" s="84">
        <f>'Current NZ ETS settings'!F6*1000</f>
        <v>41900</v>
      </c>
      <c r="F5" s="361">
        <f>'2. NZ ETS cap'!G19</f>
        <v>42844.757679845898</v>
      </c>
      <c r="G5" s="361">
        <f>'2. NZ ETS cap'!H19</f>
        <v>42749.961561673706</v>
      </c>
      <c r="H5" s="361">
        <f>'2. NZ ETS cap'!I19</f>
        <v>42556.880095727902</v>
      </c>
      <c r="I5" s="85">
        <f t="shared" si="0"/>
        <v>212351.59933724749</v>
      </c>
      <c r="J5" s="7"/>
      <c r="K5" s="366" t="s">
        <v>473</v>
      </c>
      <c r="L5" s="157"/>
      <c r="M5" s="157"/>
      <c r="N5" s="367"/>
    </row>
    <row r="6" spans="1:20" ht="15.75" thickBot="1">
      <c r="A6" s="745"/>
      <c r="B6" s="24" t="s">
        <v>474</v>
      </c>
      <c r="C6" s="84">
        <f>'Current NZ ETS settings'!D7*1000</f>
        <v>25600</v>
      </c>
      <c r="D6" s="84">
        <f>'Current NZ ETS settings'!E7*1000</f>
        <v>23400</v>
      </c>
      <c r="E6" s="84">
        <f>'Current NZ ETS settings'!F7*1000</f>
        <v>21400</v>
      </c>
      <c r="F6" s="361">
        <f>'2. NZ ETS cap'!G35</f>
        <v>17595.142962500082</v>
      </c>
      <c r="G6" s="361">
        <f>'2. NZ ETS cap'!H35</f>
        <v>15112.552536963478</v>
      </c>
      <c r="H6" s="361">
        <f>'2. NZ ETS cap'!I35</f>
        <v>12622.786403881386</v>
      </c>
      <c r="I6" s="85">
        <f t="shared" si="0"/>
        <v>90130.481903344946</v>
      </c>
      <c r="J6" s="7"/>
      <c r="K6" s="362" t="s">
        <v>475</v>
      </c>
      <c r="L6" s="378" t="s">
        <v>476</v>
      </c>
      <c r="M6" s="157"/>
      <c r="N6" s="367"/>
    </row>
    <row r="7" spans="1:20">
      <c r="A7" s="180" t="s">
        <v>477</v>
      </c>
      <c r="B7" s="24" t="s">
        <v>23</v>
      </c>
      <c r="C7" s="84">
        <f>'Current NZ ETS settings'!D8*1000</f>
        <v>800</v>
      </c>
      <c r="D7" s="84">
        <f>'Current NZ ETS settings'!E8*1000</f>
        <v>700</v>
      </c>
      <c r="E7" s="84">
        <f>'Current NZ ETS settings'!F8*1000</f>
        <v>700</v>
      </c>
      <c r="F7" s="361">
        <v>0</v>
      </c>
      <c r="G7" s="361">
        <v>0</v>
      </c>
      <c r="H7" s="361">
        <v>0</v>
      </c>
      <c r="I7" s="85">
        <f t="shared" si="0"/>
        <v>1400</v>
      </c>
      <c r="J7" s="7"/>
      <c r="K7" s="368"/>
      <c r="L7" s="369"/>
      <c r="M7" s="369"/>
      <c r="N7" s="367"/>
    </row>
    <row r="8" spans="1:20">
      <c r="A8" s="180" t="s">
        <v>478</v>
      </c>
      <c r="B8" s="24" t="s">
        <v>479</v>
      </c>
      <c r="C8" s="84">
        <f>'Current NZ ETS settings'!D9*1000</f>
        <v>6000</v>
      </c>
      <c r="D8" s="84">
        <f>'Current NZ ETS settings'!E9*1000</f>
        <v>5700</v>
      </c>
      <c r="E8" s="84">
        <f>'Current NZ ETS settings'!F9*1000</f>
        <v>5700</v>
      </c>
      <c r="F8" s="361">
        <f>'4. Industrial free allocation'!H62</f>
        <v>4550.7249875472426</v>
      </c>
      <c r="G8" s="361">
        <f>'4. Industrial free allocation'!I62</f>
        <v>4490.2458736849112</v>
      </c>
      <c r="H8" s="361">
        <f>'4. Industrial free allocation'!J62</f>
        <v>3975.16167286258</v>
      </c>
      <c r="I8" s="85">
        <f t="shared" si="0"/>
        <v>24416.132534094737</v>
      </c>
      <c r="J8" s="7"/>
      <c r="K8" s="370" t="s">
        <v>205</v>
      </c>
      <c r="L8" s="158">
        <v>2028</v>
      </c>
      <c r="M8" s="158">
        <v>2029</v>
      </c>
      <c r="N8" s="374">
        <v>2030</v>
      </c>
    </row>
    <row r="9" spans="1:20">
      <c r="A9" s="180" t="s">
        <v>480</v>
      </c>
      <c r="B9" s="113" t="s">
        <v>481</v>
      </c>
      <c r="C9" s="84">
        <f>'Current NZ ETS settings'!D10*1000</f>
        <v>12500</v>
      </c>
      <c r="D9" s="84">
        <f>'Current NZ ETS settings'!E10*1000</f>
        <v>11500</v>
      </c>
      <c r="E9" s="84">
        <f>'Current NZ ETS settings'!F10*1000</f>
        <v>10500</v>
      </c>
      <c r="F9" s="361">
        <f ca="1">'5a. Surplus reduction volumes'!G12</f>
        <v>5407.7219818608801</v>
      </c>
      <c r="G9" s="361">
        <f ca="1">'5a. Surplus reduction volumes'!H12</f>
        <v>5262.3460949414948</v>
      </c>
      <c r="H9" s="361">
        <f ca="1">'5a. Surplus reduction volumes'!I12</f>
        <v>4988.8390873314338</v>
      </c>
      <c r="I9" s="85">
        <f t="shared" ca="1" si="0"/>
        <v>37658.907164133809</v>
      </c>
      <c r="J9" s="7"/>
      <c r="K9" s="371" t="s">
        <v>482</v>
      </c>
      <c r="L9" s="372">
        <f ca="1">F6-F7-F8-F9-F10-F11</f>
        <v>9150.234554616889</v>
      </c>
      <c r="M9" s="372">
        <f ca="1">G6-G7-G8-G9-G10-G11</f>
        <v>6832.8106455970137</v>
      </c>
      <c r="N9" s="531">
        <f ca="1">H6-H7-H8-H9-H10-H11</f>
        <v>5055.0852983749865</v>
      </c>
      <c r="O9" s="1"/>
      <c r="P9" s="1"/>
      <c r="Q9" s="1"/>
      <c r="R9" s="1"/>
      <c r="S9" s="1"/>
    </row>
    <row r="10" spans="1:20" s="49" customFormat="1">
      <c r="A10" s="180" t="s">
        <v>483</v>
      </c>
      <c r="B10" s="113" t="s">
        <v>34</v>
      </c>
      <c r="C10" s="84">
        <f>'Current NZ ETS settings'!D11*1000</f>
        <v>300</v>
      </c>
      <c r="D10" s="84">
        <f>'Current NZ ETS settings'!E11*1000</f>
        <v>300</v>
      </c>
      <c r="E10" s="84">
        <f>'Current NZ ETS settings'!F11*1000</f>
        <v>300</v>
      </c>
      <c r="F10" s="641">
        <f>'5b. Discrepancy adjustment'!F26</f>
        <v>-1513.5385615249299</v>
      </c>
      <c r="G10" s="641">
        <f>'5b. Discrepancy adjustment'!G26</f>
        <v>-1472.8500772599418</v>
      </c>
      <c r="H10" s="641">
        <f>'5b. Discrepancy adjustment'!H26</f>
        <v>-1396.2996546876134</v>
      </c>
      <c r="I10" s="642">
        <f t="shared" si="0"/>
        <v>-3782.6882934724849</v>
      </c>
      <c r="J10" s="7"/>
      <c r="K10" s="371" t="s">
        <v>484</v>
      </c>
      <c r="L10" s="373">
        <f ca="1">SUM(L9:N9)</f>
        <v>21038.130498588889</v>
      </c>
      <c r="M10" s="158"/>
      <c r="N10" s="374"/>
      <c r="O10" s="237"/>
      <c r="P10" s="237"/>
      <c r="Q10" s="237"/>
      <c r="R10" s="237"/>
      <c r="S10" s="237"/>
    </row>
    <row r="11" spans="1:20" ht="15.75" thickBot="1">
      <c r="A11" s="379" t="s">
        <v>485</v>
      </c>
      <c r="B11" s="380" t="s">
        <v>486</v>
      </c>
      <c r="C11" s="84">
        <f>'Current NZ ETS settings'!D12*1000</f>
        <v>0</v>
      </c>
      <c r="D11" s="84">
        <f>'Current NZ ETS settings'!E12*1000</f>
        <v>0</v>
      </c>
      <c r="E11" s="84">
        <f>'Current NZ ETS settings'!F12*1000</f>
        <v>0</v>
      </c>
      <c r="F11" s="361">
        <v>0</v>
      </c>
      <c r="G11" s="361">
        <v>0</v>
      </c>
      <c r="H11" s="361">
        <v>0</v>
      </c>
      <c r="I11" s="85">
        <f t="shared" si="0"/>
        <v>0</v>
      </c>
      <c r="J11" s="7"/>
      <c r="K11" s="532" t="s">
        <v>487</v>
      </c>
      <c r="L11" s="533">
        <f ca="1">$L$10/3</f>
        <v>7012.7101661962961</v>
      </c>
      <c r="M11" s="533">
        <f ca="1">$L$10/3</f>
        <v>7012.7101661962961</v>
      </c>
      <c r="N11" s="534">
        <f ca="1">$L$10/3</f>
        <v>7012.7101661962961</v>
      </c>
      <c r="O11" s="341"/>
      <c r="P11" s="341"/>
      <c r="Q11" s="341"/>
      <c r="R11" s="341"/>
      <c r="S11" s="341"/>
      <c r="T11" s="341"/>
    </row>
    <row r="12" spans="1:20">
      <c r="A12" s="72" t="s">
        <v>488</v>
      </c>
      <c r="B12" s="73" t="s">
        <v>489</v>
      </c>
      <c r="C12" s="247">
        <f>'Current NZ ETS settings'!D13*1000</f>
        <v>6000.0000000000009</v>
      </c>
      <c r="D12" s="670">
        <f>'Current NZ ETS settings'!E13*1000</f>
        <v>5200</v>
      </c>
      <c r="E12" s="670">
        <f>'Current NZ ETS settings'!F13*1000</f>
        <v>4300</v>
      </c>
      <c r="F12" s="671">
        <f ca="1">IF($L$6="yes", L11,L9)</f>
        <v>7012.7101661962961</v>
      </c>
      <c r="G12" s="671">
        <f ca="1">IF($L$6="yes", M11,M9)</f>
        <v>7012.7101661962961</v>
      </c>
      <c r="H12" s="671">
        <f ca="1">IF($L$6="yes", N11,N9)</f>
        <v>7012.7101661962961</v>
      </c>
      <c r="I12" s="85">
        <f t="shared" ca="1" si="0"/>
        <v>30538.130498588886</v>
      </c>
      <c r="J12" s="7"/>
    </row>
    <row r="13" spans="1:20" s="1" customFormat="1" ht="16.5" customHeight="1">
      <c r="A13" s="133"/>
      <c r="B13" s="134" t="s">
        <v>490</v>
      </c>
      <c r="C13" s="417">
        <f t="shared" ref="C13:E13" si="1">ROUND((C12/1000),1)</f>
        <v>6</v>
      </c>
      <c r="D13" s="417">
        <f t="shared" si="1"/>
        <v>5.2</v>
      </c>
      <c r="E13" s="417">
        <f t="shared" si="1"/>
        <v>4.3</v>
      </c>
      <c r="F13" s="201">
        <f t="shared" ref="F13:H13" ca="1" si="2">ROUND((F12/1000),1)</f>
        <v>7</v>
      </c>
      <c r="G13" s="201">
        <f ca="1">ROUND((G12/1000),1)</f>
        <v>7</v>
      </c>
      <c r="H13" s="201">
        <f t="shared" ca="1" si="2"/>
        <v>7</v>
      </c>
      <c r="I13" s="85">
        <f t="shared" ca="1" si="0"/>
        <v>30.5</v>
      </c>
      <c r="J13" s="7"/>
      <c r="P13" s="530"/>
      <c r="Q13" s="176"/>
    </row>
    <row r="14" spans="1:20" s="1" customFormat="1" ht="23.25" customHeight="1" thickBot="1">
      <c r="A14" s="133"/>
      <c r="B14" s="134" t="s">
        <v>491</v>
      </c>
      <c r="C14" s="418">
        <f>(C8+C12)/1000</f>
        <v>12</v>
      </c>
      <c r="D14" s="418">
        <f t="shared" ref="D14:H14" si="3">(D8+D12)/1000</f>
        <v>10.9</v>
      </c>
      <c r="E14" s="418">
        <f t="shared" si="3"/>
        <v>10</v>
      </c>
      <c r="F14" s="185">
        <f t="shared" ca="1" si="3"/>
        <v>11.563435153743539</v>
      </c>
      <c r="G14" s="185">
        <f t="shared" ca="1" si="3"/>
        <v>11.502956039881207</v>
      </c>
      <c r="H14" s="185">
        <f t="shared" ca="1" si="3"/>
        <v>10.987871839058876</v>
      </c>
      <c r="I14" s="85">
        <f t="shared" ca="1" si="0"/>
        <v>54.95426303268362</v>
      </c>
      <c r="J14" s="7"/>
      <c r="O14" s="341"/>
      <c r="P14" s="341"/>
      <c r="Q14" s="341"/>
      <c r="R14" s="341"/>
      <c r="S14" s="341"/>
    </row>
    <row r="15" spans="1:20" s="1" customFormat="1" ht="23.25" customHeight="1" thickTop="1">
      <c r="A15" s="133"/>
      <c r="B15" s="134"/>
      <c r="C15" s="135"/>
      <c r="D15" s="135"/>
      <c r="E15" s="135"/>
      <c r="F15" s="135"/>
      <c r="G15" s="135"/>
      <c r="H15" s="135"/>
      <c r="I15" s="136"/>
      <c r="J15" s="7"/>
    </row>
    <row r="16" spans="1:20" s="76" customFormat="1">
      <c r="A16" s="746" t="s">
        <v>492</v>
      </c>
      <c r="B16" s="77" t="s">
        <v>114</v>
      </c>
      <c r="C16" s="198">
        <f>'Current NZ ETS settings'!D15*1000</f>
        <v>2600</v>
      </c>
      <c r="D16" s="198">
        <f>'Current NZ ETS settings'!E15*1000</f>
        <v>2300</v>
      </c>
      <c r="E16" s="198">
        <f>'Current NZ ETS settings'!F15*1000</f>
        <v>2100</v>
      </c>
      <c r="F16" s="198">
        <f>'Current NZ ETS settings'!G15*1000</f>
        <v>1900</v>
      </c>
      <c r="G16" s="198">
        <f>'Current NZ ETS settings'!H15*1000</f>
        <v>1700</v>
      </c>
      <c r="H16" s="198">
        <f>'Current NZ ETS settings'!I15*1000</f>
        <v>1400</v>
      </c>
      <c r="I16" s="85">
        <f>SUM(D16:H16)</f>
        <v>9400</v>
      </c>
    </row>
    <row r="17" spans="1:11" s="76" customFormat="1">
      <c r="A17" s="746"/>
      <c r="B17" s="77" t="s">
        <v>117</v>
      </c>
      <c r="C17" s="198">
        <f>'Current NZ ETS settings'!D16*1000</f>
        <v>4500</v>
      </c>
      <c r="D17" s="198">
        <f>'Current NZ ETS settings'!E16*1000</f>
        <v>4200</v>
      </c>
      <c r="E17" s="198">
        <f>'Current NZ ETS settings'!F16*1000</f>
        <v>3800</v>
      </c>
      <c r="F17" s="198">
        <f>'Current NZ ETS settings'!G16*1000</f>
        <v>3400</v>
      </c>
      <c r="G17" s="198">
        <f>'Current NZ ETS settings'!H16*1000</f>
        <v>3000</v>
      </c>
      <c r="H17" s="198">
        <f>'Current NZ ETS settings'!I16*1000</f>
        <v>2500</v>
      </c>
      <c r="I17" s="85">
        <f>SUM(D17:H17)</f>
        <v>16900</v>
      </c>
    </row>
    <row r="18" spans="1:11" s="76" customFormat="1">
      <c r="A18" s="74"/>
      <c r="B18" s="77" t="s">
        <v>493</v>
      </c>
      <c r="C18" s="498">
        <f>C16/1000</f>
        <v>2.6</v>
      </c>
      <c r="D18" s="498">
        <f t="shared" ref="D18:H18" si="4">D16/1000</f>
        <v>2.2999999999999998</v>
      </c>
      <c r="E18" s="498">
        <f t="shared" si="4"/>
        <v>2.1</v>
      </c>
      <c r="F18" s="498">
        <f t="shared" si="4"/>
        <v>1.9</v>
      </c>
      <c r="G18" s="498">
        <f t="shared" si="4"/>
        <v>1.7</v>
      </c>
      <c r="H18" s="498">
        <f t="shared" si="4"/>
        <v>1.4</v>
      </c>
      <c r="I18" s="85">
        <f>SUM(D18:H18)</f>
        <v>9.4</v>
      </c>
      <c r="K18" s="343"/>
    </row>
    <row r="19" spans="1:11" s="76" customFormat="1">
      <c r="A19" s="74"/>
      <c r="B19" s="77" t="s">
        <v>494</v>
      </c>
      <c r="C19" s="498">
        <f>C17/1000</f>
        <v>4.5</v>
      </c>
      <c r="D19" s="498">
        <f t="shared" ref="D19:H19" si="5">D17/1000</f>
        <v>4.2</v>
      </c>
      <c r="E19" s="498">
        <f t="shared" si="5"/>
        <v>3.8</v>
      </c>
      <c r="F19" s="498">
        <f t="shared" si="5"/>
        <v>3.4</v>
      </c>
      <c r="G19" s="498">
        <f t="shared" si="5"/>
        <v>3</v>
      </c>
      <c r="H19" s="498">
        <f t="shared" si="5"/>
        <v>2.5</v>
      </c>
      <c r="I19" s="85">
        <f>SUM(D19:H19)</f>
        <v>16.899999999999999</v>
      </c>
      <c r="K19" s="343"/>
    </row>
    <row r="20" spans="1:11" s="76" customFormat="1">
      <c r="A20" s="74"/>
      <c r="B20" s="75"/>
      <c r="C20" s="497"/>
      <c r="D20" s="497"/>
      <c r="E20" s="497"/>
      <c r="F20" s="497"/>
      <c r="G20" s="497"/>
      <c r="H20" s="497"/>
      <c r="I20" s="86"/>
      <c r="K20" s="343"/>
    </row>
    <row r="21" spans="1:11" s="76" customFormat="1" ht="30.75" thickBot="1">
      <c r="A21" s="78"/>
      <c r="B21" s="79" t="s">
        <v>495</v>
      </c>
      <c r="C21" s="199">
        <f t="shared" ref="C21:H21" si="6">C12+C16+C17</f>
        <v>13100</v>
      </c>
      <c r="D21" s="199">
        <f t="shared" si="6"/>
        <v>11700</v>
      </c>
      <c r="E21" s="199">
        <f t="shared" si="6"/>
        <v>10200</v>
      </c>
      <c r="F21" s="199">
        <f t="shared" ca="1" si="6"/>
        <v>12312.710166196295</v>
      </c>
      <c r="G21" s="199">
        <f t="shared" ca="1" si="6"/>
        <v>11712.710166196295</v>
      </c>
      <c r="H21" s="199">
        <f t="shared" ca="1" si="6"/>
        <v>10912.710166196295</v>
      </c>
      <c r="I21" s="85">
        <f ca="1">SUM(D21:H21)</f>
        <v>56838.130498588886</v>
      </c>
      <c r="K21" s="343"/>
    </row>
    <row r="22" spans="1:11" s="76" customFormat="1" ht="15.75" thickTop="1">
      <c r="A22" s="150"/>
      <c r="B22" s="151" t="s">
        <v>496</v>
      </c>
      <c r="C22" s="200">
        <f t="shared" ref="C22:E22" si="7">ROUND((C21/1000),1)</f>
        <v>13.1</v>
      </c>
      <c r="D22" s="200">
        <f t="shared" si="7"/>
        <v>11.7</v>
      </c>
      <c r="E22" s="200">
        <f t="shared" si="7"/>
        <v>10.199999999999999</v>
      </c>
      <c r="F22" s="201">
        <f t="shared" ref="F22:H22" ca="1" si="8">ROUND((F21/1000),1)</f>
        <v>12.3</v>
      </c>
      <c r="G22" s="201">
        <f t="shared" ca="1" si="8"/>
        <v>11.7</v>
      </c>
      <c r="H22" s="201">
        <f t="shared" ca="1" si="8"/>
        <v>10.9</v>
      </c>
      <c r="I22" s="85">
        <f ca="1">SUM(D22:H22)</f>
        <v>56.800000000000004</v>
      </c>
    </row>
    <row r="23" spans="1:11" s="76" customFormat="1">
      <c r="A23" s="80"/>
      <c r="B23" s="81"/>
      <c r="C23" s="149"/>
      <c r="D23" s="149"/>
      <c r="E23" s="149"/>
      <c r="F23" s="149"/>
      <c r="G23" s="149"/>
      <c r="H23" s="149"/>
      <c r="I23" s="86"/>
    </row>
    <row r="24" spans="1:11" s="76" customFormat="1" ht="30.75" customHeight="1" thickBot="1">
      <c r="A24" s="82"/>
      <c r="B24" s="83" t="s">
        <v>497</v>
      </c>
      <c r="C24" s="199">
        <f t="shared" ref="C24:H24" si="9">C21+C8</f>
        <v>19100</v>
      </c>
      <c r="D24" s="199">
        <f t="shared" si="9"/>
        <v>17400</v>
      </c>
      <c r="E24" s="199">
        <f t="shared" si="9"/>
        <v>15900</v>
      </c>
      <c r="F24" s="87">
        <f t="shared" ca="1" si="9"/>
        <v>16863.435153743536</v>
      </c>
      <c r="G24" s="87">
        <f t="shared" ca="1" si="9"/>
        <v>16202.956039881206</v>
      </c>
      <c r="H24" s="184">
        <f t="shared" ca="1" si="9"/>
        <v>14887.871839058875</v>
      </c>
      <c r="I24" s="85">
        <f ca="1">SUM(D24:H24)</f>
        <v>81254.263032683622</v>
      </c>
    </row>
    <row r="25" spans="1:11" ht="15.75" thickTop="1">
      <c r="A25" s="152"/>
      <c r="B25" s="153" t="s">
        <v>498</v>
      </c>
      <c r="C25" s="200">
        <f t="shared" ref="C25:E25" si="10">ROUND((C24/1000),1)</f>
        <v>19.100000000000001</v>
      </c>
      <c r="D25" s="200">
        <f t="shared" si="10"/>
        <v>17.399999999999999</v>
      </c>
      <c r="E25" s="200">
        <f t="shared" si="10"/>
        <v>15.9</v>
      </c>
      <c r="F25" s="201">
        <f ca="1">ROUND((F24/1000),1)</f>
        <v>16.899999999999999</v>
      </c>
      <c r="G25" s="201">
        <f t="shared" ref="G25:H25" ca="1" si="11">ROUND((G24/1000),1)</f>
        <v>16.2</v>
      </c>
      <c r="H25" s="201">
        <f t="shared" ca="1" si="11"/>
        <v>14.9</v>
      </c>
      <c r="I25" s="85">
        <f ca="1">SUM(D25:H25)</f>
        <v>81.3</v>
      </c>
    </row>
    <row r="27" spans="1:11" s="16" customFormat="1">
      <c r="A27" s="26" t="s">
        <v>499</v>
      </c>
    </row>
    <row r="28" spans="1:11">
      <c r="A28" s="1" t="s">
        <v>500</v>
      </c>
      <c r="B28" t="s">
        <v>501</v>
      </c>
      <c r="C28" s="7">
        <f>'Current NZ ETS settings'!D9</f>
        <v>6</v>
      </c>
      <c r="D28" s="7">
        <f>'Current NZ ETS settings'!E9</f>
        <v>5.7</v>
      </c>
      <c r="E28" s="7">
        <f>'Current NZ ETS settings'!F9</f>
        <v>5.7</v>
      </c>
      <c r="F28" s="7">
        <f>'Current NZ ETS settings'!G9</f>
        <v>5.6</v>
      </c>
      <c r="G28" s="7">
        <f>'Current NZ ETS settings'!H9</f>
        <v>5.5</v>
      </c>
      <c r="H28" s="7">
        <f>'Current NZ ETS settings'!I9</f>
        <v>5.0999999999999996</v>
      </c>
      <c r="I28" s="45">
        <f>SUM(D28:H28)</f>
        <v>27.6</v>
      </c>
    </row>
    <row r="29" spans="1:11">
      <c r="B29" t="s">
        <v>146</v>
      </c>
      <c r="C29" s="7">
        <f>'Current NZ ETS settings'!D13</f>
        <v>6.0000000000000009</v>
      </c>
      <c r="D29" s="7">
        <f>'Current NZ ETS settings'!E13</f>
        <v>5.2</v>
      </c>
      <c r="E29" s="7">
        <f>'Current NZ ETS settings'!F13</f>
        <v>4.3</v>
      </c>
      <c r="F29" s="7">
        <f>'Current NZ ETS settings'!G13</f>
        <v>3.3</v>
      </c>
      <c r="G29" s="7">
        <f>'Current NZ ETS settings'!H13</f>
        <v>2.4</v>
      </c>
      <c r="H29" s="7">
        <f>'Current NZ ETS settings'!I13</f>
        <v>1.7000000000000011</v>
      </c>
      <c r="I29" s="45">
        <f t="shared" ref="I29:I30" si="12">SUM(D29:H29)</f>
        <v>16.900000000000002</v>
      </c>
    </row>
    <row r="30" spans="1:11">
      <c r="B30" t="s">
        <v>502</v>
      </c>
      <c r="C30" s="7">
        <f>C28+C29</f>
        <v>12</v>
      </c>
      <c r="D30" s="7">
        <f t="shared" ref="D30:H30" si="13">D28+D29</f>
        <v>10.9</v>
      </c>
      <c r="E30" s="7">
        <f t="shared" si="13"/>
        <v>10</v>
      </c>
      <c r="F30" s="7">
        <f t="shared" si="13"/>
        <v>8.8999999999999986</v>
      </c>
      <c r="G30" s="7">
        <f t="shared" si="13"/>
        <v>7.9</v>
      </c>
      <c r="H30" s="7">
        <f t="shared" si="13"/>
        <v>6.8000000000000007</v>
      </c>
      <c r="I30" s="45">
        <f t="shared" si="12"/>
        <v>44.5</v>
      </c>
    </row>
    <row r="31" spans="1:11">
      <c r="I31" s="45"/>
    </row>
    <row r="32" spans="1:11">
      <c r="A32" s="1" t="s">
        <v>503</v>
      </c>
      <c r="B32" t="s">
        <v>479</v>
      </c>
      <c r="C32" s="7">
        <f>'4. Industrial free allocation'!E63</f>
        <v>5.1320717393568538</v>
      </c>
      <c r="D32" s="7">
        <f>'4. Industrial free allocation'!F63</f>
        <v>5.1490185565799056</v>
      </c>
      <c r="E32" s="7">
        <f>'4. Industrial free allocation'!G63</f>
        <v>5.0828568791305733</v>
      </c>
      <c r="F32" s="7">
        <f>'4. Industrial free allocation'!H63</f>
        <v>4.5507249875472429</v>
      </c>
      <c r="G32" s="7">
        <f>'4. Industrial free allocation'!I63</f>
        <v>4.4902458736849109</v>
      </c>
      <c r="H32" s="7">
        <f>'4. Industrial free allocation'!J63</f>
        <v>3.9751616728625798</v>
      </c>
      <c r="I32" s="45">
        <f>SUM(D32:H32)</f>
        <v>23.248007969805212</v>
      </c>
    </row>
    <row r="33" spans="1:9">
      <c r="B33" t="s">
        <v>122</v>
      </c>
      <c r="C33" s="9">
        <f t="shared" ref="C33:H33" si="14">C13</f>
        <v>6</v>
      </c>
      <c r="D33" s="9">
        <f t="shared" si="14"/>
        <v>5.2</v>
      </c>
      <c r="E33" s="9">
        <f t="shared" si="14"/>
        <v>4.3</v>
      </c>
      <c r="F33" s="9">
        <f t="shared" ca="1" si="14"/>
        <v>7</v>
      </c>
      <c r="G33" s="9">
        <f t="shared" ca="1" si="14"/>
        <v>7</v>
      </c>
      <c r="H33" s="9">
        <f t="shared" ca="1" si="14"/>
        <v>7</v>
      </c>
      <c r="I33" s="45">
        <f t="shared" ref="I33:I34" ca="1" si="15">SUM(D33:H33)</f>
        <v>30.5</v>
      </c>
    </row>
    <row r="34" spans="1:9">
      <c r="B34" t="s">
        <v>504</v>
      </c>
      <c r="C34" s="7">
        <f>C32+C33</f>
        <v>11.132071739356853</v>
      </c>
      <c r="D34" s="7">
        <f t="shared" ref="D34:H34" si="16">D32+D33</f>
        <v>10.349018556579907</v>
      </c>
      <c r="E34" s="7">
        <f t="shared" si="16"/>
        <v>9.3828568791305731</v>
      </c>
      <c r="F34" s="7">
        <f ca="1">F32+F33</f>
        <v>11.550724987547243</v>
      </c>
      <c r="G34" s="7">
        <f t="shared" ca="1" si="16"/>
        <v>11.490245873684911</v>
      </c>
      <c r="H34" s="7">
        <f t="shared" ca="1" si="16"/>
        <v>10.97516167286258</v>
      </c>
      <c r="I34" s="45">
        <f t="shared" ca="1" si="15"/>
        <v>53.748007969805215</v>
      </c>
    </row>
    <row r="35" spans="1:9">
      <c r="C35" s="7"/>
      <c r="D35" s="7"/>
      <c r="E35" s="7"/>
      <c r="F35" s="7"/>
      <c r="G35" s="7"/>
      <c r="H35" s="7"/>
      <c r="I35" s="45"/>
    </row>
    <row r="36" spans="1:9">
      <c r="A36" s="1" t="s">
        <v>505</v>
      </c>
      <c r="B36" t="s">
        <v>506</v>
      </c>
      <c r="C36" s="248">
        <f>C32-C28</f>
        <v>-0.86792826064314621</v>
      </c>
      <c r="D36" s="248">
        <f t="shared" ref="D36:H36" si="17">D32-D28</f>
        <v>-0.55098144342009459</v>
      </c>
      <c r="E36" s="248">
        <f t="shared" si="17"/>
        <v>-0.61714312086942691</v>
      </c>
      <c r="F36" s="248">
        <f t="shared" si="17"/>
        <v>-1.0492750124527568</v>
      </c>
      <c r="G36" s="248">
        <f t="shared" si="17"/>
        <v>-1.0097541263150891</v>
      </c>
      <c r="H36" s="248">
        <f t="shared" si="17"/>
        <v>-1.1248383271374198</v>
      </c>
      <c r="I36" s="45">
        <f>SUM(D36:H36)</f>
        <v>-4.3519920301947872</v>
      </c>
    </row>
    <row r="37" spans="1:9">
      <c r="B37" t="s">
        <v>122</v>
      </c>
      <c r="C37" s="248">
        <f t="shared" ref="C37:H37" si="18">C33-C29</f>
        <v>0</v>
      </c>
      <c r="D37" s="248">
        <f t="shared" si="18"/>
        <v>0</v>
      </c>
      <c r="E37" s="248">
        <f t="shared" si="18"/>
        <v>0</v>
      </c>
      <c r="F37" s="248">
        <f t="shared" ca="1" si="18"/>
        <v>3.7</v>
      </c>
      <c r="G37" s="248">
        <f t="shared" ca="1" si="18"/>
        <v>4.5999999999999996</v>
      </c>
      <c r="H37" s="248">
        <f t="shared" ca="1" si="18"/>
        <v>5.2999999999999989</v>
      </c>
      <c r="I37" s="45">
        <f t="shared" ref="I37:I38" ca="1" si="19">SUM(D37:H37)</f>
        <v>13.6</v>
      </c>
    </row>
    <row r="38" spans="1:9">
      <c r="B38" t="s">
        <v>507</v>
      </c>
      <c r="C38" s="248">
        <f t="shared" ref="C38:H38" si="20">C34-C30</f>
        <v>-0.8679282606431471</v>
      </c>
      <c r="D38" s="248">
        <f t="shared" si="20"/>
        <v>-0.5509814434200937</v>
      </c>
      <c r="E38" s="248">
        <f t="shared" si="20"/>
        <v>-0.61714312086942691</v>
      </c>
      <c r="F38" s="248">
        <f t="shared" ca="1" si="20"/>
        <v>2.6507249875472443</v>
      </c>
      <c r="G38" s="248">
        <f t="shared" ca="1" si="20"/>
        <v>3.5902458736849105</v>
      </c>
      <c r="H38" s="248">
        <f t="shared" ca="1" si="20"/>
        <v>4.1751616728625791</v>
      </c>
      <c r="I38" s="45">
        <f t="shared" ca="1" si="19"/>
        <v>9.2480079698052133</v>
      </c>
    </row>
    <row r="39" spans="1:9">
      <c r="C39" s="248"/>
      <c r="D39" s="248"/>
      <c r="E39" s="248"/>
      <c r="F39" s="248"/>
      <c r="G39" s="248"/>
      <c r="H39" s="248"/>
      <c r="I39" s="45"/>
    </row>
    <row r="40" spans="1:9">
      <c r="C40" s="496"/>
      <c r="D40" s="496"/>
      <c r="E40" s="496"/>
      <c r="F40" s="496"/>
      <c r="G40" s="496"/>
      <c r="H40" s="496"/>
      <c r="I40" s="45"/>
    </row>
    <row r="41" spans="1:9">
      <c r="C41" s="125"/>
      <c r="D41" s="125"/>
      <c r="E41" s="125"/>
      <c r="F41" s="125"/>
      <c r="G41" s="125"/>
      <c r="H41" s="125"/>
      <c r="I41" s="45"/>
    </row>
    <row r="42" spans="1:9">
      <c r="I42" s="45"/>
    </row>
    <row r="43" spans="1:9">
      <c r="A43" s="1"/>
      <c r="C43" s="7"/>
      <c r="D43" s="7"/>
      <c r="E43" s="7"/>
      <c r="F43" s="7"/>
      <c r="G43" s="7"/>
      <c r="H43" s="7"/>
      <c r="I43" s="45"/>
    </row>
    <row r="44" spans="1:9">
      <c r="C44" s="7"/>
      <c r="D44" s="7"/>
      <c r="E44" s="7"/>
      <c r="F44" s="7"/>
      <c r="G44" s="7"/>
      <c r="H44" s="7"/>
      <c r="I44" s="7"/>
    </row>
    <row r="45" spans="1:9">
      <c r="C45" s="7"/>
      <c r="D45" s="7"/>
      <c r="E45" s="7"/>
      <c r="F45" s="7"/>
      <c r="G45" s="7"/>
      <c r="H45" s="7"/>
      <c r="I45" s="45"/>
    </row>
    <row r="46" spans="1:9">
      <c r="C46" s="7"/>
      <c r="D46" s="7"/>
      <c r="E46" s="7"/>
      <c r="F46" s="7"/>
      <c r="G46" s="7"/>
      <c r="H46" s="7"/>
      <c r="I46" s="45"/>
    </row>
    <row r="47" spans="1:9">
      <c r="D47" s="327"/>
      <c r="E47" s="327"/>
      <c r="F47" s="327"/>
      <c r="G47" s="327"/>
      <c r="H47" s="327"/>
      <c r="I47" s="45"/>
    </row>
    <row r="48" spans="1:9">
      <c r="D48" s="327"/>
      <c r="E48" s="327"/>
      <c r="F48" s="327"/>
      <c r="G48" s="327"/>
      <c r="H48" s="327"/>
      <c r="I48" s="45"/>
    </row>
    <row r="49" spans="1:21">
      <c r="H49" s="327"/>
      <c r="I49" s="45"/>
    </row>
    <row r="50" spans="1:21">
      <c r="B50" s="562"/>
      <c r="C50" s="562"/>
      <c r="D50" s="562"/>
      <c r="E50" s="562"/>
      <c r="F50" s="562"/>
      <c r="G50" s="562"/>
      <c r="H50" s="327"/>
      <c r="I50" s="45"/>
    </row>
    <row r="51" spans="1:21">
      <c r="B51" s="562"/>
      <c r="C51" s="562"/>
      <c r="D51" s="136"/>
      <c r="E51" s="136"/>
      <c r="F51" s="136"/>
      <c r="G51" s="562"/>
      <c r="U51" s="5"/>
    </row>
    <row r="52" spans="1:21">
      <c r="A52" s="1"/>
      <c r="B52" s="562"/>
      <c r="C52" s="562"/>
      <c r="D52" s="136"/>
      <c r="E52" s="136"/>
      <c r="F52" s="136"/>
      <c r="G52" s="562"/>
      <c r="I52" s="562"/>
      <c r="U52" s="5"/>
    </row>
    <row r="53" spans="1:21">
      <c r="I53" s="562"/>
      <c r="U53" s="5"/>
    </row>
    <row r="54" spans="1:21">
      <c r="I54" s="562"/>
      <c r="U54" s="5"/>
    </row>
    <row r="55" spans="1:21">
      <c r="U55" s="5"/>
    </row>
    <row r="64" spans="1:21">
      <c r="C64" s="496"/>
    </row>
    <row r="66" spans="3:8">
      <c r="H66" s="88"/>
    </row>
    <row r="67" spans="3:8">
      <c r="C67" s="563"/>
      <c r="D67" s="11"/>
      <c r="H67" s="88"/>
    </row>
    <row r="68" spans="3:8">
      <c r="H68" s="88"/>
    </row>
    <row r="69" spans="3:8">
      <c r="C69" s="5"/>
      <c r="D69" s="5"/>
      <c r="H69" s="88"/>
    </row>
    <row r="70" spans="3:8">
      <c r="C70" s="11"/>
      <c r="D70" s="88"/>
      <c r="E70" s="11"/>
      <c r="H70" s="88"/>
    </row>
    <row r="71" spans="3:8">
      <c r="H71" s="88"/>
    </row>
    <row r="72" spans="3:8">
      <c r="C72" s="11"/>
      <c r="D72" s="11"/>
    </row>
    <row r="73" spans="3:8">
      <c r="C73" s="88"/>
      <c r="D73" s="88"/>
    </row>
    <row r="74" spans="3:8">
      <c r="C74" s="9"/>
      <c r="D74" s="9"/>
    </row>
    <row r="75" spans="3:8">
      <c r="D75" s="7"/>
    </row>
    <row r="80" spans="3:8">
      <c r="D80" s="36"/>
    </row>
    <row r="81" spans="8:14">
      <c r="N81" s="7"/>
    </row>
    <row r="85" spans="8:14">
      <c r="N85" s="7"/>
    </row>
    <row r="89" spans="8:14">
      <c r="N89" s="7"/>
    </row>
    <row r="93" spans="8:14">
      <c r="N93" s="7"/>
    </row>
    <row r="96" spans="8:14">
      <c r="H96" s="5"/>
    </row>
    <row r="97" spans="3:14">
      <c r="N97" s="7"/>
    </row>
    <row r="100" spans="3:14">
      <c r="D100" s="100"/>
      <c r="E100" s="100"/>
      <c r="F100" s="100"/>
      <c r="G100" s="100"/>
      <c r="H100" s="100"/>
      <c r="L100" t="s">
        <v>508</v>
      </c>
    </row>
    <row r="101" spans="3:14">
      <c r="D101" s="100"/>
      <c r="E101" s="100"/>
      <c r="F101" s="100"/>
      <c r="G101" s="100"/>
      <c r="H101" s="100"/>
    </row>
    <row r="103" spans="3:14">
      <c r="C103" s="1"/>
      <c r="D103" s="176"/>
      <c r="E103" s="176"/>
      <c r="F103" s="176"/>
      <c r="G103" s="176"/>
      <c r="H103" s="176"/>
    </row>
    <row r="104" spans="3:14">
      <c r="D104" s="5"/>
      <c r="E104" s="5"/>
      <c r="F104" s="5"/>
      <c r="G104" s="5"/>
      <c r="H104" s="5"/>
    </row>
    <row r="105" spans="3:14">
      <c r="D105" s="5"/>
      <c r="E105" s="5"/>
      <c r="F105" s="5"/>
      <c r="G105" s="5"/>
      <c r="H105" s="5"/>
    </row>
    <row r="106" spans="3:14">
      <c r="D106" s="5"/>
      <c r="E106" s="5"/>
      <c r="F106" s="5"/>
      <c r="G106" s="5"/>
      <c r="H106" s="5"/>
    </row>
    <row r="107" spans="3:14">
      <c r="D107" s="88"/>
      <c r="E107" s="88"/>
      <c r="F107" s="88"/>
      <c r="G107" s="88"/>
      <c r="H107" s="88"/>
    </row>
    <row r="108" spans="3:14">
      <c r="D108" s="5"/>
      <c r="E108" s="5"/>
      <c r="F108" s="5"/>
      <c r="G108" s="5"/>
      <c r="H108" s="5"/>
    </row>
    <row r="112" spans="3:14">
      <c r="D112" s="5"/>
      <c r="E112" s="5"/>
      <c r="F112" s="5"/>
      <c r="G112" s="5"/>
      <c r="H112" s="5"/>
    </row>
    <row r="113" spans="3:8">
      <c r="D113" s="5"/>
      <c r="E113" s="5"/>
      <c r="F113" s="5"/>
      <c r="G113" s="5"/>
      <c r="H113" s="5"/>
    </row>
    <row r="114" spans="3:8">
      <c r="C114" s="14"/>
      <c r="D114" s="5"/>
      <c r="E114" s="5"/>
      <c r="F114" s="5"/>
      <c r="G114" s="5"/>
      <c r="H114" s="5"/>
    </row>
  </sheetData>
  <mergeCells count="2">
    <mergeCell ref="A5:A6"/>
    <mergeCell ref="A16:A17"/>
  </mergeCells>
  <conditionalFormatting sqref="C12">
    <cfRule type="cellIs" dxfId="4" priority="1" operator="equal">
      <formula>0</formula>
    </cfRule>
  </conditionalFormatting>
  <dataValidations disablePrompts="1" count="1">
    <dataValidation type="list" allowBlank="1" showInputMessage="1" showErrorMessage="1" sqref="M8 L6" xr:uid="{EC7C8E1B-AEE5-44C1-9EE4-B4E74AD13051}">
      <formula1>"Yes, No"</formula1>
    </dataValidation>
  </dataValidations>
  <pageMargins left="0.7" right="0.7" top="0.75" bottom="0.75" header="0.3" footer="0.3"/>
  <pageSetup paperSize="9" orientation="portrait" r:id="rId1"/>
  <headerFooter>
    <oddHeader>&amp;C&amp;"Calibri"&amp;9&amp;K000000 [IN-CONFIDENCE]&amp;1#_x000D_</oddHeader>
    <oddFooter>&amp;C_x000D_&amp;1#&amp;"Calibri"&amp;9&amp;K000000 [IN-CONFIDENCE]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5FAA-F892-4616-BAB6-C3853E19B34C}">
  <sheetPr>
    <tabColor rgb="FFFDF5D7"/>
  </sheetPr>
  <dimension ref="A1:M31"/>
  <sheetViews>
    <sheetView zoomScale="90" zoomScaleNormal="90" workbookViewId="0">
      <pane ySplit="1" topLeftCell="A2" activePane="bottomLeft" state="frozen"/>
      <selection pane="bottomLeft" activeCell="A13" sqref="A13"/>
      <selection activeCell="V34" sqref="V34"/>
    </sheetView>
  </sheetViews>
  <sheetFormatPr defaultRowHeight="15"/>
  <cols>
    <col min="1" max="1" width="29.5703125" customWidth="1"/>
    <col min="2" max="2" width="14" customWidth="1"/>
    <col min="3" max="3" width="17.85546875" customWidth="1"/>
    <col min="12" max="12" width="10.85546875" customWidth="1"/>
    <col min="14" max="14" width="9.140625" customWidth="1"/>
  </cols>
  <sheetData>
    <row r="1" spans="1:13">
      <c r="A1" s="26" t="s">
        <v>43</v>
      </c>
      <c r="B1" s="16"/>
      <c r="C1" s="16"/>
      <c r="D1" s="672">
        <v>2022</v>
      </c>
      <c r="E1" s="672">
        <v>2023</v>
      </c>
      <c r="F1" s="672">
        <v>2024</v>
      </c>
      <c r="G1" s="672">
        <v>2025</v>
      </c>
      <c r="H1" s="672">
        <v>2026</v>
      </c>
      <c r="I1" s="672">
        <v>2027</v>
      </c>
      <c r="J1" s="672">
        <v>2028</v>
      </c>
      <c r="K1" s="672">
        <v>2029</v>
      </c>
      <c r="L1" s="672">
        <v>2030</v>
      </c>
    </row>
    <row r="3" spans="1:13" s="1" customFormat="1">
      <c r="A3" s="673" t="s">
        <v>509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</row>
    <row r="4" spans="1:13">
      <c r="A4" s="674" t="s">
        <v>113</v>
      </c>
      <c r="B4" t="s">
        <v>114</v>
      </c>
      <c r="C4" s="673" t="s">
        <v>510</v>
      </c>
      <c r="D4" s="675">
        <f t="shared" ref="D4:K5" si="0">E4/(1+$C$5)</f>
        <v>157.88184686278709</v>
      </c>
      <c r="E4" s="675">
        <f t="shared" si="0"/>
        <v>162.6183022686707</v>
      </c>
      <c r="F4" s="675">
        <f t="shared" si="0"/>
        <v>167.49685133673083</v>
      </c>
      <c r="G4" s="675">
        <f t="shared" si="0"/>
        <v>172.52175687683277</v>
      </c>
      <c r="H4" s="675">
        <f t="shared" si="0"/>
        <v>177.69740958313776</v>
      </c>
      <c r="I4" s="675">
        <f t="shared" si="0"/>
        <v>183.02833187063189</v>
      </c>
      <c r="J4" s="675">
        <f t="shared" si="0"/>
        <v>188.51918182675084</v>
      </c>
      <c r="K4" s="675">
        <f>L4/(1+$C$5)</f>
        <v>194.17475728155338</v>
      </c>
      <c r="L4" s="676">
        <v>200</v>
      </c>
    </row>
    <row r="5" spans="1:13">
      <c r="A5" s="674" t="s">
        <v>113</v>
      </c>
      <c r="B5" t="s">
        <v>117</v>
      </c>
      <c r="C5" s="28">
        <v>0.03</v>
      </c>
      <c r="D5" s="675">
        <f t="shared" si="0"/>
        <v>197.35230857848387</v>
      </c>
      <c r="E5" s="675">
        <f t="shared" si="0"/>
        <v>203.27287783583839</v>
      </c>
      <c r="F5" s="675">
        <f t="shared" si="0"/>
        <v>209.37106417091354</v>
      </c>
      <c r="G5" s="675">
        <f t="shared" si="0"/>
        <v>215.65219609604097</v>
      </c>
      <c r="H5" s="675">
        <f t="shared" si="0"/>
        <v>222.12176197892219</v>
      </c>
      <c r="I5" s="675">
        <f t="shared" si="0"/>
        <v>228.78541483828985</v>
      </c>
      <c r="J5" s="675">
        <f t="shared" si="0"/>
        <v>235.64897728343857</v>
      </c>
      <c r="K5" s="675">
        <f t="shared" si="0"/>
        <v>242.71844660194174</v>
      </c>
      <c r="L5" s="676">
        <v>250</v>
      </c>
    </row>
    <row r="6" spans="1:13">
      <c r="A6" s="674"/>
      <c r="B6" s="674"/>
      <c r="D6" s="677"/>
      <c r="E6" s="677"/>
      <c r="F6" s="677"/>
      <c r="G6" s="677"/>
      <c r="H6" s="677"/>
      <c r="I6" s="677"/>
      <c r="J6" s="677"/>
      <c r="K6" s="677"/>
      <c r="L6" s="677"/>
    </row>
    <row r="7" spans="1:13">
      <c r="A7" s="674" t="s">
        <v>87</v>
      </c>
      <c r="B7" s="674"/>
      <c r="D7" s="675">
        <f t="shared" ref="D7:K7" si="1">E7/(1+$C$5)</f>
        <v>55.258646401975483</v>
      </c>
      <c r="E7" s="675">
        <f t="shared" si="1"/>
        <v>56.916405794034752</v>
      </c>
      <c r="F7" s="675">
        <f t="shared" si="1"/>
        <v>58.623897967855797</v>
      </c>
      <c r="G7" s="675">
        <f t="shared" si="1"/>
        <v>60.382614906891469</v>
      </c>
      <c r="H7" s="675">
        <f t="shared" si="1"/>
        <v>62.194093354098214</v>
      </c>
      <c r="I7" s="675">
        <f t="shared" si="1"/>
        <v>64.059916154721165</v>
      </c>
      <c r="J7" s="675">
        <f t="shared" si="1"/>
        <v>65.981713639362809</v>
      </c>
      <c r="K7" s="675">
        <f t="shared" si="1"/>
        <v>67.961165048543691</v>
      </c>
      <c r="L7" s="676">
        <v>70</v>
      </c>
    </row>
    <row r="8" spans="1:13">
      <c r="A8" s="674"/>
      <c r="B8" s="674"/>
      <c r="D8" s="677"/>
      <c r="E8" s="677"/>
      <c r="F8" s="677"/>
      <c r="G8" s="677"/>
      <c r="H8" s="677"/>
      <c r="I8" s="677"/>
      <c r="J8" s="677"/>
      <c r="K8" s="677"/>
      <c r="L8" s="677"/>
    </row>
    <row r="9" spans="1:13" s="16" customFormat="1">
      <c r="A9" s="26" t="s">
        <v>511</v>
      </c>
      <c r="B9" s="26"/>
    </row>
    <row r="10" spans="1:13">
      <c r="A10" s="12" t="s">
        <v>512</v>
      </c>
      <c r="B10" s="12"/>
      <c r="C10" t="s">
        <v>513</v>
      </c>
      <c r="E10" s="678">
        <v>6.0421924659429296</v>
      </c>
      <c r="F10" s="678">
        <v>3.3334075481197898</v>
      </c>
      <c r="G10" s="678">
        <v>1.75496524465852</v>
      </c>
      <c r="H10" s="678">
        <v>2.09210530005143</v>
      </c>
      <c r="I10" s="678">
        <v>2.0153901596027</v>
      </c>
      <c r="J10" s="678">
        <v>2.0033003609843698</v>
      </c>
      <c r="K10" s="678">
        <v>2.0035456584857698</v>
      </c>
      <c r="L10" s="678">
        <f>K10</f>
        <v>2.0035456584857698</v>
      </c>
      <c r="M10" t="s">
        <v>514</v>
      </c>
    </row>
    <row r="11" spans="1:13">
      <c r="A11" t="s">
        <v>515</v>
      </c>
      <c r="D11" s="28">
        <v>1</v>
      </c>
      <c r="E11" s="679">
        <f>D11*(1+E10/100)</f>
        <v>1.0604219246594293</v>
      </c>
      <c r="F11" s="679">
        <f>E11*(1+F10/100)</f>
        <v>1.0957701091379439</v>
      </c>
      <c r="G11" s="679">
        <f>F11*(1+G10/100)</f>
        <v>1.1150004937146716</v>
      </c>
      <c r="H11" s="679">
        <f t="shared" ref="H11:L11" si="2">G11*(1+H10/100)</f>
        <v>1.138327478139276</v>
      </c>
      <c r="I11" s="679">
        <f t="shared" si="2"/>
        <v>1.1612692181177486</v>
      </c>
      <c r="J11" s="679">
        <f t="shared" si="2"/>
        <v>1.184532928556302</v>
      </c>
      <c r="K11" s="679">
        <f t="shared" si="2"/>
        <v>1.2082655866197261</v>
      </c>
      <c r="L11" s="679">
        <f t="shared" si="2"/>
        <v>1.2324737393234233</v>
      </c>
      <c r="M11" t="s">
        <v>516</v>
      </c>
    </row>
    <row r="13" spans="1:13" s="21" customFormat="1">
      <c r="A13" s="42" t="s">
        <v>43</v>
      </c>
      <c r="B13" s="42"/>
    </row>
    <row r="14" spans="1:13">
      <c r="C14" s="674" t="s">
        <v>113</v>
      </c>
      <c r="D14" t="s">
        <v>114</v>
      </c>
      <c r="F14" s="680">
        <f>ROUND((F4*F$11),0)</f>
        <v>184</v>
      </c>
      <c r="G14" s="680">
        <f>ROUND((G4*G$11),0)</f>
        <v>192</v>
      </c>
      <c r="H14" s="680">
        <f>ROUND((H4*H$11),0)</f>
        <v>202</v>
      </c>
      <c r="I14" s="680">
        <f>ROUND((I4*I$11),0)</f>
        <v>213</v>
      </c>
      <c r="J14" s="680">
        <f t="shared" ref="G14:L17" si="3">ROUND((J4*J$11),0)</f>
        <v>223</v>
      </c>
      <c r="K14" s="680">
        <f t="shared" si="3"/>
        <v>235</v>
      </c>
      <c r="L14" s="680">
        <f t="shared" si="3"/>
        <v>246</v>
      </c>
    </row>
    <row r="15" spans="1:13">
      <c r="C15" s="674" t="s">
        <v>113</v>
      </c>
      <c r="D15" t="s">
        <v>117</v>
      </c>
      <c r="F15" s="680">
        <f>ROUND((F5*F$11),0)</f>
        <v>229</v>
      </c>
      <c r="G15" s="680">
        <f t="shared" si="3"/>
        <v>240</v>
      </c>
      <c r="H15" s="680">
        <f t="shared" si="3"/>
        <v>253</v>
      </c>
      <c r="I15" s="680">
        <f t="shared" si="3"/>
        <v>266</v>
      </c>
      <c r="J15" s="680">
        <f t="shared" si="3"/>
        <v>279</v>
      </c>
      <c r="K15" s="680">
        <f t="shared" si="3"/>
        <v>293</v>
      </c>
      <c r="L15" s="680">
        <f t="shared" si="3"/>
        <v>308</v>
      </c>
    </row>
    <row r="17" spans="1:12">
      <c r="C17" t="s">
        <v>87</v>
      </c>
      <c r="F17" s="680">
        <f>ROUND((F7*F$11),0)</f>
        <v>64</v>
      </c>
      <c r="G17" s="680">
        <f t="shared" si="3"/>
        <v>67</v>
      </c>
      <c r="H17" s="680">
        <f t="shared" si="3"/>
        <v>71</v>
      </c>
      <c r="I17" s="680">
        <f t="shared" si="3"/>
        <v>74</v>
      </c>
      <c r="J17" s="680">
        <f t="shared" si="3"/>
        <v>78</v>
      </c>
      <c r="K17" s="680">
        <f t="shared" si="3"/>
        <v>82</v>
      </c>
      <c r="L17" s="680">
        <f t="shared" si="3"/>
        <v>86</v>
      </c>
    </row>
    <row r="20" spans="1:12" s="41" customFormat="1">
      <c r="A20" s="46" t="s">
        <v>517</v>
      </c>
    </row>
    <row r="21" spans="1:12">
      <c r="F21">
        <v>2024</v>
      </c>
      <c r="G21">
        <v>2025</v>
      </c>
      <c r="H21">
        <v>2026</v>
      </c>
      <c r="I21">
        <v>2027</v>
      </c>
      <c r="J21">
        <v>2028</v>
      </c>
      <c r="K21">
        <v>2029</v>
      </c>
      <c r="L21">
        <v>2030</v>
      </c>
    </row>
    <row r="22" spans="1:12">
      <c r="B22" t="s">
        <v>114</v>
      </c>
      <c r="F22" s="47">
        <v>2800</v>
      </c>
      <c r="G22" s="47">
        <v>2600</v>
      </c>
      <c r="H22" s="47">
        <v>2300</v>
      </c>
      <c r="I22" s="47">
        <v>2100</v>
      </c>
      <c r="J22" s="47">
        <v>1900</v>
      </c>
      <c r="K22" s="47">
        <v>1700</v>
      </c>
      <c r="L22" s="47">
        <v>1400</v>
      </c>
    </row>
    <row r="23" spans="1:12">
      <c r="B23" s="674" t="s">
        <v>117</v>
      </c>
      <c r="F23" s="47">
        <v>4900</v>
      </c>
      <c r="G23" s="47">
        <v>4500</v>
      </c>
      <c r="H23" s="47">
        <v>4200</v>
      </c>
      <c r="I23" s="47">
        <v>3800</v>
      </c>
      <c r="J23" s="47">
        <v>3400</v>
      </c>
      <c r="K23" s="47">
        <v>3000</v>
      </c>
      <c r="L23" s="47">
        <v>2500</v>
      </c>
    </row>
    <row r="26" spans="1:12" s="20" customFormat="1">
      <c r="A26" s="31" t="s">
        <v>518</v>
      </c>
    </row>
    <row r="27" spans="1:12">
      <c r="H27" s="747" t="s">
        <v>103</v>
      </c>
      <c r="I27" s="747"/>
      <c r="J27" s="748" t="s">
        <v>104</v>
      </c>
      <c r="K27" s="748"/>
      <c r="L27" s="320" t="s">
        <v>105</v>
      </c>
    </row>
    <row r="28" spans="1:12">
      <c r="H28" s="681">
        <v>2026</v>
      </c>
      <c r="I28" s="681">
        <v>2027</v>
      </c>
      <c r="J28" s="317">
        <v>2028</v>
      </c>
      <c r="K28" s="317">
        <v>2029</v>
      </c>
      <c r="L28" s="317">
        <v>2030</v>
      </c>
    </row>
    <row r="29" spans="1:12">
      <c r="B29" t="s">
        <v>519</v>
      </c>
      <c r="H29" s="682">
        <f>'Current NZ ETS settings'!E23</f>
        <v>71</v>
      </c>
      <c r="I29" s="682">
        <f>'Current NZ ETS settings'!F23</f>
        <v>75</v>
      </c>
      <c r="J29" s="683">
        <f>J17</f>
        <v>78</v>
      </c>
      <c r="K29" s="683">
        <f>K17</f>
        <v>82</v>
      </c>
      <c r="L29" s="683">
        <f>L17</f>
        <v>86</v>
      </c>
    </row>
    <row r="30" spans="1:12">
      <c r="B30" t="s">
        <v>520</v>
      </c>
      <c r="H30" s="682">
        <f>'Current NZ ETS settings'!E24</f>
        <v>203</v>
      </c>
      <c r="I30" s="682">
        <f>'Current NZ ETS settings'!F24</f>
        <v>213</v>
      </c>
      <c r="J30" s="683">
        <f t="shared" ref="J30:L31" si="4">J14</f>
        <v>223</v>
      </c>
      <c r="K30" s="683">
        <f t="shared" si="4"/>
        <v>235</v>
      </c>
      <c r="L30" s="683">
        <f t="shared" si="4"/>
        <v>246</v>
      </c>
    </row>
    <row r="31" spans="1:12">
      <c r="B31" t="s">
        <v>521</v>
      </c>
      <c r="H31" s="682">
        <f>'Current NZ ETS settings'!E25</f>
        <v>254</v>
      </c>
      <c r="I31" s="682">
        <f>'Current NZ ETS settings'!F25</f>
        <v>267</v>
      </c>
      <c r="J31" s="683">
        <f t="shared" si="4"/>
        <v>279</v>
      </c>
      <c r="K31" s="683">
        <f t="shared" si="4"/>
        <v>293</v>
      </c>
      <c r="L31" s="683">
        <f t="shared" si="4"/>
        <v>308</v>
      </c>
    </row>
  </sheetData>
  <mergeCells count="2">
    <mergeCell ref="H27:I27"/>
    <mergeCell ref="J27:K27"/>
  </mergeCells>
  <pageMargins left="0.7" right="0.7" top="0.75" bottom="0.75" header="0.3" footer="0.3"/>
  <pageSetup paperSize="9" orientation="portrait" r:id="rId1"/>
  <headerFooter>
    <oddHeader>&amp;C&amp;"Calibri"&amp;9&amp;K000000 [IN-CONFIDENCE]&amp;1#_x000D_</oddHeader>
    <oddFooter>&amp;C_x000D_&amp;1#&amp;"Calibri"&amp;9&amp;K000000 [IN-CONFIDENCE]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A891-782D-494C-9A46-0D17927670BA}">
  <dimension ref="A1:P62"/>
  <sheetViews>
    <sheetView zoomScale="70" zoomScaleNormal="70" workbookViewId="0">
      <selection activeCell="B62" sqref="B62"/>
    </sheetView>
  </sheetViews>
  <sheetFormatPr defaultRowHeight="15"/>
  <cols>
    <col min="1" max="1" width="24.28515625" customWidth="1"/>
    <col min="2" max="2" width="27.85546875" customWidth="1"/>
    <col min="3" max="15" width="12.42578125" customWidth="1"/>
  </cols>
  <sheetData>
    <row r="1" spans="1:15" s="16" customFormat="1">
      <c r="A1" s="26" t="s">
        <v>522</v>
      </c>
      <c r="C1" s="26">
        <v>2010</v>
      </c>
      <c r="D1" s="26">
        <v>2011</v>
      </c>
      <c r="E1" s="26">
        <v>2012</v>
      </c>
      <c r="F1" s="26">
        <v>2013</v>
      </c>
      <c r="G1" s="26">
        <v>2014</v>
      </c>
      <c r="H1" s="26">
        <v>2015</v>
      </c>
      <c r="I1" s="26">
        <v>2016</v>
      </c>
      <c r="J1" s="26">
        <v>2017</v>
      </c>
      <c r="K1" s="26">
        <v>2018</v>
      </c>
      <c r="L1" s="26">
        <v>2019</v>
      </c>
      <c r="M1" s="26">
        <v>2020</v>
      </c>
      <c r="N1" s="26">
        <v>2021</v>
      </c>
      <c r="O1" s="26">
        <v>2022</v>
      </c>
    </row>
    <row r="3" spans="1:15" s="42" customFormat="1">
      <c r="A3" s="42" t="s">
        <v>523</v>
      </c>
    </row>
    <row r="4" spans="1:15">
      <c r="A4" s="1" t="s">
        <v>524</v>
      </c>
    </row>
    <row r="5" spans="1:15">
      <c r="A5" t="s">
        <v>246</v>
      </c>
      <c r="B5" t="s">
        <v>525</v>
      </c>
      <c r="C5" s="168">
        <v>15644.16</v>
      </c>
      <c r="D5" s="168">
        <v>15460.096</v>
      </c>
      <c r="E5" s="168">
        <v>15721.755999999999</v>
      </c>
      <c r="F5" s="168">
        <v>16022.592000000001</v>
      </c>
      <c r="G5" s="168">
        <v>16072.95</v>
      </c>
      <c r="H5" s="168">
        <v>15947.177</v>
      </c>
      <c r="I5" s="168">
        <v>16336.862999999999</v>
      </c>
      <c r="J5" s="168">
        <v>17345.591</v>
      </c>
      <c r="K5" s="168">
        <v>18046.900000000001</v>
      </c>
      <c r="L5" s="168">
        <v>18299.93</v>
      </c>
      <c r="M5" s="168">
        <v>16867.471000000001</v>
      </c>
      <c r="N5" s="168">
        <v>17406.948</v>
      </c>
      <c r="O5" s="168">
        <v>16830.477999999999</v>
      </c>
    </row>
    <row r="6" spans="1:15">
      <c r="B6" t="s">
        <v>526</v>
      </c>
      <c r="C6" s="168">
        <v>522.096</v>
      </c>
      <c r="D6" s="168">
        <v>531.39300000000003</v>
      </c>
      <c r="E6" s="168">
        <v>522.09900000000005</v>
      </c>
      <c r="F6" s="168">
        <v>528.31500000000005</v>
      </c>
      <c r="G6" s="168">
        <v>669.17700000000002</v>
      </c>
      <c r="H6" s="168">
        <v>1213.221</v>
      </c>
      <c r="I6" s="168">
        <v>1241.529</v>
      </c>
      <c r="J6" s="168">
        <v>966.68</v>
      </c>
      <c r="K6" s="168">
        <v>621.07799999999997</v>
      </c>
      <c r="L6" s="168">
        <v>625.46600000000001</v>
      </c>
      <c r="M6" s="168">
        <v>412.80799999999999</v>
      </c>
      <c r="N6" s="168">
        <v>443.89299999999997</v>
      </c>
      <c r="O6" s="168">
        <v>1250.857</v>
      </c>
    </row>
    <row r="7" spans="1:15">
      <c r="B7" t="s">
        <v>527</v>
      </c>
      <c r="C7" s="168">
        <v>46.341999999999999</v>
      </c>
      <c r="D7" s="168">
        <v>47.2</v>
      </c>
      <c r="E7" s="168">
        <v>39.023000000000003</v>
      </c>
      <c r="F7" s="168">
        <v>43.588999999999999</v>
      </c>
      <c r="G7" s="168">
        <v>45.381999999999998</v>
      </c>
      <c r="H7" s="168">
        <v>49.106000000000002</v>
      </c>
      <c r="I7" s="168">
        <v>59.795999999999999</v>
      </c>
      <c r="J7" s="168">
        <v>58.231000000000002</v>
      </c>
      <c r="K7" s="168">
        <v>62.76</v>
      </c>
      <c r="L7" s="168">
        <v>77.048000000000002</v>
      </c>
      <c r="M7" s="168">
        <v>52.926000000000002</v>
      </c>
      <c r="N7" s="168">
        <v>82.433999999999997</v>
      </c>
      <c r="O7" s="168">
        <v>107.917</v>
      </c>
    </row>
    <row r="8" spans="1:15">
      <c r="B8" t="s">
        <v>528</v>
      </c>
      <c r="C8" s="168">
        <v>0</v>
      </c>
      <c r="D8" s="168">
        <v>0</v>
      </c>
      <c r="E8" s="168">
        <v>0</v>
      </c>
      <c r="F8" s="168">
        <v>0</v>
      </c>
      <c r="G8" s="168">
        <v>14.298</v>
      </c>
      <c r="H8" s="168">
        <v>6.3819999999999997</v>
      </c>
      <c r="I8" s="168">
        <v>10.691000000000001</v>
      </c>
      <c r="J8" s="168">
        <v>14.355</v>
      </c>
      <c r="K8" s="168">
        <v>23.202999999999999</v>
      </c>
      <c r="L8" s="168">
        <v>19.262</v>
      </c>
      <c r="M8" s="168">
        <v>10.621</v>
      </c>
      <c r="N8" s="168">
        <v>10.829000000000001</v>
      </c>
      <c r="O8" s="168">
        <v>41.515000000000001</v>
      </c>
    </row>
    <row r="9" spans="1:15">
      <c r="A9" t="s">
        <v>529</v>
      </c>
      <c r="B9" t="s">
        <v>530</v>
      </c>
      <c r="C9" s="168">
        <v>8330.7819999999992</v>
      </c>
      <c r="D9" s="168">
        <v>7246.26</v>
      </c>
      <c r="E9" s="168">
        <v>7610.48</v>
      </c>
      <c r="F9" s="168">
        <v>8042.1959999999999</v>
      </c>
      <c r="G9" s="168">
        <v>10269.991</v>
      </c>
      <c r="H9" s="168">
        <v>9978.0120000000006</v>
      </c>
      <c r="I9" s="168">
        <v>10652.446</v>
      </c>
      <c r="J9" s="168">
        <v>10560.214</v>
      </c>
      <c r="K9" s="168">
        <v>9267.6589999999997</v>
      </c>
      <c r="L9" s="168">
        <v>10031.058000000001</v>
      </c>
      <c r="M9" s="168">
        <v>9802.17</v>
      </c>
      <c r="N9" s="168">
        <v>8127.9960000000001</v>
      </c>
      <c r="O9" s="168">
        <v>7886.5349999999999</v>
      </c>
    </row>
    <row r="10" spans="1:15">
      <c r="B10" t="s">
        <v>531</v>
      </c>
      <c r="C10" s="168">
        <v>29.759</v>
      </c>
      <c r="D10" s="168">
        <v>17.951000000000001</v>
      </c>
      <c r="E10" s="168">
        <v>53.874000000000002</v>
      </c>
      <c r="F10" s="168">
        <v>0</v>
      </c>
      <c r="G10" s="168">
        <v>5.508</v>
      </c>
      <c r="H10" s="168">
        <v>22.55</v>
      </c>
      <c r="I10" s="168">
        <v>61.76</v>
      </c>
      <c r="J10" s="168">
        <v>40.497</v>
      </c>
      <c r="K10" s="168">
        <v>45.012</v>
      </c>
      <c r="L10" s="168">
        <v>81.194999999999993</v>
      </c>
      <c r="M10" s="168">
        <v>62.314</v>
      </c>
      <c r="N10" s="168">
        <v>126</v>
      </c>
      <c r="O10" s="168">
        <v>121.852</v>
      </c>
    </row>
    <row r="11" spans="1:15">
      <c r="B11" t="s">
        <v>532</v>
      </c>
      <c r="C11" s="168">
        <v>1703.498</v>
      </c>
      <c r="D11" s="168">
        <v>2061.6579999999999</v>
      </c>
      <c r="E11" s="168">
        <v>2409.1280000000002</v>
      </c>
      <c r="F11" s="168">
        <v>2410.59</v>
      </c>
      <c r="G11" s="168">
        <v>1493.7249999999999</v>
      </c>
      <c r="H11" s="168">
        <v>1321.0909999999999</v>
      </c>
      <c r="I11" s="168">
        <v>925.55700000000002</v>
      </c>
      <c r="J11" s="168">
        <v>1268.2180000000001</v>
      </c>
      <c r="K11" s="168">
        <v>1142.5555200000001</v>
      </c>
      <c r="L11" s="168">
        <v>949.16700000000003</v>
      </c>
      <c r="M11" s="168">
        <v>806.13800000000003</v>
      </c>
      <c r="N11" s="168">
        <v>935.48299999999995</v>
      </c>
      <c r="O11" s="168">
        <v>945.94799999999998</v>
      </c>
    </row>
    <row r="12" spans="1:15">
      <c r="B12" t="s">
        <v>533</v>
      </c>
      <c r="C12" s="168">
        <v>0</v>
      </c>
      <c r="D12" s="168">
        <v>-1145.4059999999999</v>
      </c>
      <c r="E12" s="168">
        <v>-1519.8889999999999</v>
      </c>
      <c r="F12" s="168">
        <v>-1956.7719999999999</v>
      </c>
      <c r="G12" s="168">
        <v>-3024.5569999999998</v>
      </c>
      <c r="H12" s="168">
        <v>-2551.547</v>
      </c>
      <c r="I12" s="168">
        <v>-2995.7719999999999</v>
      </c>
      <c r="J12" s="168">
        <v>-2678.69</v>
      </c>
      <c r="K12" s="168">
        <v>-2206.3760000000002</v>
      </c>
      <c r="L12" s="168">
        <v>-2568.9279999999999</v>
      </c>
      <c r="M12" s="168">
        <v>-2302.355</v>
      </c>
      <c r="N12" s="168">
        <v>-1860.6030000000001</v>
      </c>
      <c r="O12" s="168">
        <v>-1675.059</v>
      </c>
    </row>
    <row r="13" spans="1:15">
      <c r="B13" t="s">
        <v>534</v>
      </c>
      <c r="C13" s="685">
        <f t="shared" ref="C13:O13" si="0">SUM(C5:C12)</f>
        <v>26276.636999999995</v>
      </c>
      <c r="D13" s="685">
        <f t="shared" si="0"/>
        <v>24219.152000000002</v>
      </c>
      <c r="E13" s="685">
        <f t="shared" si="0"/>
        <v>24836.471000000001</v>
      </c>
      <c r="F13" s="685">
        <f t="shared" si="0"/>
        <v>25090.51</v>
      </c>
      <c r="G13" s="685">
        <f t="shared" si="0"/>
        <v>25546.474000000002</v>
      </c>
      <c r="H13" s="685">
        <f t="shared" si="0"/>
        <v>25985.992000000002</v>
      </c>
      <c r="I13" s="685">
        <f t="shared" si="0"/>
        <v>26292.869999999995</v>
      </c>
      <c r="J13" s="685">
        <f t="shared" si="0"/>
        <v>27575.096000000001</v>
      </c>
      <c r="K13" s="685">
        <f t="shared" si="0"/>
        <v>27002.791520000002</v>
      </c>
      <c r="L13" s="685">
        <f t="shared" si="0"/>
        <v>27514.198</v>
      </c>
      <c r="M13" s="685">
        <f t="shared" si="0"/>
        <v>25712.092999999997</v>
      </c>
      <c r="N13" s="685">
        <f t="shared" si="0"/>
        <v>25272.980000000003</v>
      </c>
      <c r="O13" s="685">
        <f t="shared" si="0"/>
        <v>25510.042999999998</v>
      </c>
    </row>
    <row r="14" spans="1:15">
      <c r="A14" s="1"/>
      <c r="B14" t="s">
        <v>535</v>
      </c>
      <c r="C14" s="686">
        <f>C13/1000</f>
        <v>26.276636999999994</v>
      </c>
      <c r="D14" s="686">
        <f t="shared" ref="D14:O14" si="1">D13/1000</f>
        <v>24.219152000000001</v>
      </c>
      <c r="E14" s="686">
        <f t="shared" si="1"/>
        <v>24.836471000000003</v>
      </c>
      <c r="F14" s="686">
        <f t="shared" si="1"/>
        <v>25.090509999999998</v>
      </c>
      <c r="G14" s="686">
        <f t="shared" si="1"/>
        <v>25.546474000000003</v>
      </c>
      <c r="H14" s="686">
        <f t="shared" si="1"/>
        <v>25.985992000000003</v>
      </c>
      <c r="I14" s="686">
        <f t="shared" si="1"/>
        <v>26.292869999999997</v>
      </c>
      <c r="J14" s="686">
        <f t="shared" si="1"/>
        <v>27.575096000000002</v>
      </c>
      <c r="K14" s="686">
        <f t="shared" si="1"/>
        <v>27.002791520000002</v>
      </c>
      <c r="L14" s="686">
        <f t="shared" si="1"/>
        <v>27.514198</v>
      </c>
      <c r="M14" s="686">
        <f t="shared" si="1"/>
        <v>25.712092999999996</v>
      </c>
      <c r="N14" s="686">
        <f t="shared" si="1"/>
        <v>25.272980000000004</v>
      </c>
      <c r="O14" s="686">
        <f t="shared" si="1"/>
        <v>25.510043</v>
      </c>
    </row>
    <row r="15" spans="1:15"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</row>
    <row r="16" spans="1:15">
      <c r="A16" s="1" t="s">
        <v>536</v>
      </c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</row>
    <row r="17" spans="1:15">
      <c r="A17" t="s">
        <v>537</v>
      </c>
      <c r="B17" t="s">
        <v>538</v>
      </c>
      <c r="C17" s="168">
        <v>16911.02692111845</v>
      </c>
      <c r="D17" s="168">
        <v>17137.413335303529</v>
      </c>
      <c r="E17" s="168">
        <v>16933.967944831093</v>
      </c>
      <c r="F17" s="168">
        <v>17316.581835591282</v>
      </c>
      <c r="G17" s="168">
        <v>17624.204260551382</v>
      </c>
      <c r="H17" s="168">
        <v>18070.492512054108</v>
      </c>
      <c r="I17" s="168">
        <v>18344.642316014073</v>
      </c>
      <c r="J17" s="168">
        <v>19209.720763526097</v>
      </c>
      <c r="K17" s="168">
        <v>19468.443456189474</v>
      </c>
      <c r="L17" s="168">
        <v>19747.517463656761</v>
      </c>
      <c r="M17" s="168">
        <v>18110.849653492642</v>
      </c>
      <c r="N17" s="168">
        <v>18781.698533295934</v>
      </c>
      <c r="O17" s="168">
        <v>18711.882657159411</v>
      </c>
    </row>
    <row r="18" spans="1:15">
      <c r="B18" t="s">
        <v>539</v>
      </c>
      <c r="C18" s="168">
        <v>7839.8414706907652</v>
      </c>
      <c r="D18" s="168">
        <v>7026.2096883353342</v>
      </c>
      <c r="E18" s="168">
        <v>7750.6272034374097</v>
      </c>
      <c r="F18" s="168">
        <v>7762.7274554351907</v>
      </c>
      <c r="G18" s="168">
        <v>8003.2649943302113</v>
      </c>
      <c r="H18" s="168">
        <v>7597.3983045044124</v>
      </c>
      <c r="I18" s="168">
        <v>7251.9419822562268</v>
      </c>
      <c r="J18" s="168">
        <v>7861.8254061031275</v>
      </c>
      <c r="K18" s="168">
        <v>7230.4766702331699</v>
      </c>
      <c r="L18" s="168">
        <v>7601.5613009313547</v>
      </c>
      <c r="M18" s="168">
        <v>7249.1864499031735</v>
      </c>
      <c r="N18" s="168">
        <v>6124.2951700311387</v>
      </c>
      <c r="O18" s="168">
        <v>5716.9913403965038</v>
      </c>
    </row>
    <row r="19" spans="1:15">
      <c r="B19" t="s">
        <v>540</v>
      </c>
      <c r="C19" s="168">
        <v>1475.0139989490619</v>
      </c>
      <c r="D19" s="168">
        <v>1525.2529615841788</v>
      </c>
      <c r="E19" s="168">
        <v>1133.5478333974631</v>
      </c>
      <c r="F19" s="168">
        <v>750.83304443355291</v>
      </c>
      <c r="G19" s="168">
        <v>910.56183357422356</v>
      </c>
      <c r="H19" s="168">
        <v>1055.2231838745743</v>
      </c>
      <c r="I19" s="168">
        <v>888.08720695675322</v>
      </c>
      <c r="J19" s="168">
        <v>859.97082551908375</v>
      </c>
      <c r="K19" s="168">
        <v>815.20970897437314</v>
      </c>
      <c r="L19" s="168">
        <v>699.74853293717251</v>
      </c>
      <c r="M19" s="168">
        <v>599.50564813207325</v>
      </c>
      <c r="N19" s="168">
        <v>532.38234448908565</v>
      </c>
      <c r="O19" s="168">
        <v>694.59050063518987</v>
      </c>
    </row>
    <row r="20" spans="1:15">
      <c r="B20" t="s">
        <v>541</v>
      </c>
      <c r="C20" s="690">
        <v>74.690752529069954</v>
      </c>
      <c r="D20" s="690">
        <v>79.851644082234145</v>
      </c>
      <c r="E20" s="690">
        <v>95.157517572430834</v>
      </c>
      <c r="F20" s="690">
        <v>110.45596773986054</v>
      </c>
      <c r="G20" s="690">
        <v>161.20925653895324</v>
      </c>
      <c r="H20" s="690">
        <v>141.68682245666668</v>
      </c>
      <c r="I20" s="690">
        <v>159.45170352942574</v>
      </c>
      <c r="J20" s="690">
        <v>144.77683515550666</v>
      </c>
      <c r="K20" s="690">
        <v>123.17716420390462</v>
      </c>
      <c r="L20" s="690">
        <v>144.36448236291335</v>
      </c>
      <c r="M20" s="690">
        <v>127.86877679999998</v>
      </c>
      <c r="N20" s="690">
        <v>105.05054869269422</v>
      </c>
      <c r="O20" s="690">
        <v>99.090298431508273</v>
      </c>
    </row>
    <row r="21" spans="1:15">
      <c r="B21" t="s">
        <v>542</v>
      </c>
      <c r="C21" s="685">
        <f t="shared" ref="C21:O21" si="2">SUM(C17:C20)</f>
        <v>26300.573143287347</v>
      </c>
      <c r="D21" s="685">
        <f t="shared" si="2"/>
        <v>25768.727629305275</v>
      </c>
      <c r="E21" s="685">
        <f t="shared" si="2"/>
        <v>25913.300499238398</v>
      </c>
      <c r="F21" s="685">
        <f t="shared" si="2"/>
        <v>25940.598303199884</v>
      </c>
      <c r="G21" s="685">
        <f t="shared" si="2"/>
        <v>26699.240344994771</v>
      </c>
      <c r="H21" s="685">
        <f t="shared" si="2"/>
        <v>26864.800822889763</v>
      </c>
      <c r="I21" s="685">
        <f t="shared" si="2"/>
        <v>26644.123208756479</v>
      </c>
      <c r="J21" s="685">
        <f t="shared" si="2"/>
        <v>28076.293830303817</v>
      </c>
      <c r="K21" s="685">
        <f t="shared" si="2"/>
        <v>27637.306999600922</v>
      </c>
      <c r="L21" s="685">
        <f t="shared" si="2"/>
        <v>28193.191779888202</v>
      </c>
      <c r="M21" s="685">
        <f t="shared" si="2"/>
        <v>26087.410528327884</v>
      </c>
      <c r="N21" s="685">
        <f t="shared" si="2"/>
        <v>25543.426596508853</v>
      </c>
      <c r="O21" s="685">
        <f t="shared" si="2"/>
        <v>25222.554796622611</v>
      </c>
    </row>
    <row r="22" spans="1:15">
      <c r="B22" t="s">
        <v>543</v>
      </c>
      <c r="C22" s="686">
        <f>C21/1000</f>
        <v>26.300573143287348</v>
      </c>
      <c r="D22" s="686">
        <f t="shared" ref="D22:O22" si="3">D21/1000</f>
        <v>25.768727629305275</v>
      </c>
      <c r="E22" s="686">
        <f t="shared" si="3"/>
        <v>25.913300499238396</v>
      </c>
      <c r="F22" s="686">
        <f t="shared" si="3"/>
        <v>25.940598303199884</v>
      </c>
      <c r="G22" s="686">
        <f t="shared" si="3"/>
        <v>26.69924034499477</v>
      </c>
      <c r="H22" s="686">
        <f t="shared" si="3"/>
        <v>26.864800822889762</v>
      </c>
      <c r="I22" s="686">
        <f t="shared" si="3"/>
        <v>26.644123208756479</v>
      </c>
      <c r="J22" s="686">
        <f t="shared" si="3"/>
        <v>28.076293830303818</v>
      </c>
      <c r="K22" s="686">
        <f t="shared" si="3"/>
        <v>27.63730699960092</v>
      </c>
      <c r="L22" s="686">
        <f t="shared" si="3"/>
        <v>28.193191779888203</v>
      </c>
      <c r="M22" s="686">
        <f t="shared" si="3"/>
        <v>26.087410528327883</v>
      </c>
      <c r="N22" s="686">
        <f t="shared" si="3"/>
        <v>25.543426596508851</v>
      </c>
      <c r="O22" s="686">
        <f t="shared" si="3"/>
        <v>25.22255479662261</v>
      </c>
    </row>
    <row r="23" spans="1:15">
      <c r="A23" s="1" t="s">
        <v>544</v>
      </c>
      <c r="C23" s="688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8"/>
      <c r="O23" s="688"/>
    </row>
    <row r="24" spans="1:15">
      <c r="B24" t="s">
        <v>199</v>
      </c>
      <c r="C24" s="692">
        <f t="shared" ref="C24:O24" si="4">C21-C13</f>
        <v>23.936143287352024</v>
      </c>
      <c r="D24" s="692">
        <f t="shared" si="4"/>
        <v>1549.5756293052727</v>
      </c>
      <c r="E24" s="692">
        <f t="shared" si="4"/>
        <v>1076.8294992383962</v>
      </c>
      <c r="F24" s="692">
        <f t="shared" si="4"/>
        <v>850.08830319988556</v>
      </c>
      <c r="G24" s="692">
        <f t="shared" si="4"/>
        <v>1152.7663449947686</v>
      </c>
      <c r="H24" s="692">
        <f t="shared" si="4"/>
        <v>878.80882288976136</v>
      </c>
      <c r="I24" s="692">
        <f t="shared" si="4"/>
        <v>351.25320875648322</v>
      </c>
      <c r="J24" s="692">
        <f t="shared" si="4"/>
        <v>501.19783030381586</v>
      </c>
      <c r="K24" s="692">
        <f t="shared" si="4"/>
        <v>634.51547960091921</v>
      </c>
      <c r="L24" s="692">
        <f t="shared" si="4"/>
        <v>678.99377988820197</v>
      </c>
      <c r="M24" s="692">
        <f t="shared" si="4"/>
        <v>375.31752832788698</v>
      </c>
      <c r="N24" s="692">
        <f t="shared" si="4"/>
        <v>270.44659650884932</v>
      </c>
      <c r="O24" s="692">
        <f t="shared" si="4"/>
        <v>-287.48820337738653</v>
      </c>
    </row>
    <row r="25" spans="1:15">
      <c r="B25" t="s">
        <v>545</v>
      </c>
      <c r="C25" s="686">
        <f t="shared" ref="C25:O25" si="5">C22-C14</f>
        <v>2.3936143287354383E-2</v>
      </c>
      <c r="D25" s="686">
        <f t="shared" si="5"/>
        <v>1.5495756293052736</v>
      </c>
      <c r="E25" s="686">
        <f t="shared" si="5"/>
        <v>1.0768294992383929</v>
      </c>
      <c r="F25" s="686">
        <f t="shared" si="5"/>
        <v>0.85008830319988604</v>
      </c>
      <c r="G25" s="686">
        <f t="shared" si="5"/>
        <v>1.1527663449947667</v>
      </c>
      <c r="H25" s="686">
        <f t="shared" si="5"/>
        <v>0.87880882288975926</v>
      </c>
      <c r="I25" s="686">
        <f t="shared" si="5"/>
        <v>0.35125320875648214</v>
      </c>
      <c r="J25" s="686">
        <f t="shared" si="5"/>
        <v>0.50119783030381626</v>
      </c>
      <c r="K25" s="686">
        <f t="shared" si="5"/>
        <v>0.63451547960091759</v>
      </c>
      <c r="L25" s="686">
        <f t="shared" si="5"/>
        <v>0.6789937798882022</v>
      </c>
      <c r="M25" s="686">
        <f t="shared" si="5"/>
        <v>0.37531752832788712</v>
      </c>
      <c r="N25" s="686">
        <f t="shared" si="5"/>
        <v>0.27044659650884739</v>
      </c>
      <c r="O25" s="686">
        <f t="shared" si="5"/>
        <v>-0.28748820337738934</v>
      </c>
    </row>
    <row r="26" spans="1:15">
      <c r="B26" t="s">
        <v>546</v>
      </c>
      <c r="C26" s="691">
        <f>C13/C21</f>
        <v>0.99908990031673661</v>
      </c>
      <c r="D26" s="691">
        <f t="shared" ref="D26:O26" si="6">D13/D21</f>
        <v>0.93986604027965159</v>
      </c>
      <c r="E26" s="691">
        <f t="shared" si="6"/>
        <v>0.95844491135854948</v>
      </c>
      <c r="F26" s="691">
        <f t="shared" si="6"/>
        <v>0.96722942573398463</v>
      </c>
      <c r="G26" s="691">
        <f t="shared" si="6"/>
        <v>0.95682400210270868</v>
      </c>
      <c r="H26" s="691">
        <f t="shared" si="6"/>
        <v>0.96728772237384375</v>
      </c>
      <c r="I26" s="691">
        <f t="shared" si="6"/>
        <v>0.98681685991299406</v>
      </c>
      <c r="J26" s="691">
        <f t="shared" si="6"/>
        <v>0.98214871829832273</v>
      </c>
      <c r="K26" s="691">
        <f t="shared" si="6"/>
        <v>0.97704134199435277</v>
      </c>
      <c r="L26" s="691">
        <f t="shared" si="6"/>
        <v>0.97591639197188851</v>
      </c>
      <c r="M26" s="691">
        <f t="shared" si="6"/>
        <v>0.98561307846478918</v>
      </c>
      <c r="N26" s="691">
        <f t="shared" si="6"/>
        <v>0.98941228204105502</v>
      </c>
      <c r="O26" s="691">
        <f t="shared" si="6"/>
        <v>1.0113980604143986</v>
      </c>
    </row>
    <row r="27" spans="1:15">
      <c r="B27" t="s">
        <v>547</v>
      </c>
      <c r="C27" s="697">
        <f>C24/C21</f>
        <v>9.1009968326341236E-4</v>
      </c>
      <c r="D27" s="697">
        <f t="shared" ref="D27:O27" si="7">D24/D21</f>
        <v>6.0133959720348421E-2</v>
      </c>
      <c r="E27" s="697">
        <f t="shared" si="7"/>
        <v>4.1555088641450542E-2</v>
      </c>
      <c r="F27" s="697">
        <f t="shared" si="7"/>
        <v>3.2770574266015429E-2</v>
      </c>
      <c r="G27" s="697">
        <f t="shared" si="7"/>
        <v>4.3175997897291277E-2</v>
      </c>
      <c r="H27" s="697">
        <f t="shared" si="7"/>
        <v>3.2712277626156271E-2</v>
      </c>
      <c r="I27" s="697">
        <f t="shared" si="7"/>
        <v>1.3183140087005954E-2</v>
      </c>
      <c r="J27" s="697">
        <f t="shared" si="7"/>
        <v>1.785128170167723E-2</v>
      </c>
      <c r="K27" s="697">
        <f t="shared" si="7"/>
        <v>2.2958658005647278E-2</v>
      </c>
      <c r="L27" s="697">
        <f t="shared" si="7"/>
        <v>2.4083608028111474E-2</v>
      </c>
      <c r="M27" s="697">
        <f t="shared" si="7"/>
        <v>1.438692153521086E-2</v>
      </c>
      <c r="N27" s="697">
        <f t="shared" si="7"/>
        <v>1.0587717958944969E-2</v>
      </c>
      <c r="O27" s="697">
        <f t="shared" si="7"/>
        <v>-1.1398060414398711E-2</v>
      </c>
    </row>
    <row r="29" spans="1:15" s="20" customFormat="1">
      <c r="A29" s="31" t="s">
        <v>548</v>
      </c>
    </row>
    <row r="30" spans="1:15">
      <c r="A30" s="1" t="s">
        <v>524</v>
      </c>
    </row>
    <row r="31" spans="1:15">
      <c r="B31" t="s">
        <v>549</v>
      </c>
      <c r="C31" s="111">
        <v>125.83</v>
      </c>
      <c r="D31" s="111">
        <v>157.333</v>
      </c>
      <c r="E31" s="111">
        <v>263.61</v>
      </c>
      <c r="F31" s="111">
        <v>984.43200000000002</v>
      </c>
      <c r="G31" s="111">
        <v>989.14099999999996</v>
      </c>
      <c r="H31" s="111">
        <v>1017.793</v>
      </c>
      <c r="I31" s="111">
        <v>706.077</v>
      </c>
      <c r="J31" s="111">
        <v>944.04700000000003</v>
      </c>
      <c r="K31" s="111">
        <v>1190.809</v>
      </c>
      <c r="L31" s="111">
        <v>2001.578</v>
      </c>
      <c r="M31" s="111">
        <v>1773.7449999999999</v>
      </c>
      <c r="N31" s="111">
        <v>2980.297</v>
      </c>
      <c r="O31" s="111">
        <v>1188.5650000000001</v>
      </c>
    </row>
    <row r="32" spans="1:15">
      <c r="B32" t="s">
        <v>550</v>
      </c>
      <c r="C32" s="111">
        <v>3949.0659999999998</v>
      </c>
      <c r="D32" s="111">
        <v>3149.5630000000001</v>
      </c>
      <c r="E32" s="111">
        <v>3314.7820000000002</v>
      </c>
      <c r="F32" s="111">
        <v>1547.521</v>
      </c>
      <c r="G32" s="111">
        <v>1550.884</v>
      </c>
      <c r="H32" s="111">
        <v>1327.9269999999999</v>
      </c>
      <c r="I32" s="111">
        <v>1124.202</v>
      </c>
      <c r="J32" s="111">
        <v>1060.8779999999999</v>
      </c>
      <c r="K32" s="111">
        <v>1067.04</v>
      </c>
      <c r="L32" s="111">
        <v>1126.529</v>
      </c>
      <c r="M32" s="111">
        <v>1462.93</v>
      </c>
      <c r="N32" s="111">
        <v>1420.452</v>
      </c>
      <c r="O32" s="111">
        <v>1157.0440000000001</v>
      </c>
    </row>
    <row r="33" spans="1:15">
      <c r="B33" t="s">
        <v>551</v>
      </c>
      <c r="C33" s="111">
        <v>559.47500000000002</v>
      </c>
      <c r="D33" s="111">
        <v>823.52099999999996</v>
      </c>
      <c r="E33" s="111">
        <v>3407.8589999999999</v>
      </c>
      <c r="F33" s="111">
        <v>3429.4389999999999</v>
      </c>
      <c r="G33" s="111">
        <v>3172.99</v>
      </c>
      <c r="H33" s="111">
        <v>3116.5309999999999</v>
      </c>
      <c r="I33" s="111">
        <v>2409.62</v>
      </c>
      <c r="J33" s="111">
        <v>2441.8130000000001</v>
      </c>
      <c r="K33" s="111">
        <v>2427.93048</v>
      </c>
      <c r="L33" s="111">
        <v>1698.46</v>
      </c>
      <c r="M33" s="111">
        <v>1507.2729999999999</v>
      </c>
      <c r="N33" s="111">
        <v>1602.4349999999999</v>
      </c>
      <c r="O33" s="111">
        <v>1569.84</v>
      </c>
    </row>
    <row r="34" spans="1:15">
      <c r="B34" t="s">
        <v>552</v>
      </c>
      <c r="C34" s="111">
        <v>62.703000000000003</v>
      </c>
      <c r="D34" s="111">
        <v>70.686999999999998</v>
      </c>
      <c r="E34" s="111">
        <v>69.72</v>
      </c>
      <c r="F34" s="111">
        <v>56.15</v>
      </c>
      <c r="G34" s="111">
        <v>59.545999999999999</v>
      </c>
      <c r="H34" s="111">
        <v>57.527000000000001</v>
      </c>
      <c r="I34" s="111">
        <v>52.158999999999999</v>
      </c>
      <c r="J34" s="111">
        <v>71.388000000000005</v>
      </c>
      <c r="K34" s="111">
        <v>70.072000000000003</v>
      </c>
      <c r="L34" s="111">
        <v>74.308499999999995</v>
      </c>
      <c r="M34" s="111">
        <v>54.430999999999997</v>
      </c>
      <c r="N34" s="111">
        <v>43.466000000000001</v>
      </c>
      <c r="O34" s="111">
        <v>40.101999999999997</v>
      </c>
    </row>
    <row r="35" spans="1:15">
      <c r="B35" s="1" t="s">
        <v>553</v>
      </c>
      <c r="C35" s="85">
        <f>SUM(C31:C34)</f>
        <v>4697.0740000000005</v>
      </c>
      <c r="D35" s="85">
        <f t="shared" ref="D35:O35" si="8">SUM(D31:D34)</f>
        <v>4201.1040000000003</v>
      </c>
      <c r="E35" s="85">
        <f t="shared" si="8"/>
        <v>7055.9710000000005</v>
      </c>
      <c r="F35" s="85">
        <f t="shared" si="8"/>
        <v>6017.5419999999995</v>
      </c>
      <c r="G35" s="85">
        <f t="shared" si="8"/>
        <v>5772.5609999999997</v>
      </c>
      <c r="H35" s="85">
        <f t="shared" si="8"/>
        <v>5519.7780000000002</v>
      </c>
      <c r="I35" s="85">
        <f t="shared" si="8"/>
        <v>4292.0579999999991</v>
      </c>
      <c r="J35" s="85">
        <f t="shared" si="8"/>
        <v>4518.1260000000002</v>
      </c>
      <c r="K35" s="85">
        <f t="shared" si="8"/>
        <v>4755.8514800000003</v>
      </c>
      <c r="L35" s="85">
        <f t="shared" si="8"/>
        <v>4900.8755000000001</v>
      </c>
      <c r="M35" s="85">
        <f t="shared" si="8"/>
        <v>4798.3789999999999</v>
      </c>
      <c r="N35" s="85">
        <f t="shared" si="8"/>
        <v>6046.65</v>
      </c>
      <c r="O35" s="85">
        <f t="shared" si="8"/>
        <v>3955.5510000000004</v>
      </c>
    </row>
    <row r="36" spans="1:15">
      <c r="B36" s="1" t="s">
        <v>554</v>
      </c>
      <c r="C36" s="686">
        <f>C35/1000</f>
        <v>4.6970740000000006</v>
      </c>
      <c r="D36" s="686">
        <f t="shared" ref="D36:O36" si="9">D35/1000</f>
        <v>4.2011039999999999</v>
      </c>
      <c r="E36" s="686">
        <f t="shared" si="9"/>
        <v>7.0559710000000004</v>
      </c>
      <c r="F36" s="686">
        <f t="shared" si="9"/>
        <v>6.0175419999999997</v>
      </c>
      <c r="G36" s="686">
        <f t="shared" si="9"/>
        <v>5.7725609999999996</v>
      </c>
      <c r="H36" s="686">
        <f t="shared" si="9"/>
        <v>5.5197780000000005</v>
      </c>
      <c r="I36" s="686">
        <f t="shared" si="9"/>
        <v>4.292057999999999</v>
      </c>
      <c r="J36" s="686">
        <f t="shared" si="9"/>
        <v>4.5181260000000005</v>
      </c>
      <c r="K36" s="686">
        <f t="shared" si="9"/>
        <v>4.7558514800000005</v>
      </c>
      <c r="L36" s="686">
        <f t="shared" si="9"/>
        <v>4.9008754999999997</v>
      </c>
      <c r="M36" s="686">
        <f t="shared" si="9"/>
        <v>4.7983789999999997</v>
      </c>
      <c r="N36" s="686">
        <f t="shared" si="9"/>
        <v>6.0466499999999996</v>
      </c>
      <c r="O36" s="686">
        <f t="shared" si="9"/>
        <v>3.9555510000000003</v>
      </c>
    </row>
    <row r="38" spans="1:15">
      <c r="A38" s="1" t="s">
        <v>555</v>
      </c>
    </row>
    <row r="39" spans="1:15">
      <c r="B39" s="2" t="s">
        <v>556</v>
      </c>
      <c r="C39" s="47">
        <v>3603.876984185868</v>
      </c>
      <c r="D39" s="47">
        <v>3690.2308033935146</v>
      </c>
      <c r="E39" s="47">
        <v>5056.9283994931366</v>
      </c>
      <c r="F39" s="47">
        <v>4167.4772619311243</v>
      </c>
      <c r="G39" s="47">
        <v>3558.5395632795808</v>
      </c>
      <c r="H39" s="47">
        <v>3545.9285523017788</v>
      </c>
      <c r="I39" s="47">
        <v>2615.8419690710507</v>
      </c>
      <c r="J39" s="47">
        <v>2784.3905714049988</v>
      </c>
      <c r="K39" s="47">
        <v>3434.482155044243</v>
      </c>
      <c r="L39" s="47">
        <v>3808.7243198869401</v>
      </c>
      <c r="M39" s="47">
        <v>3623.7271135597284</v>
      </c>
      <c r="N39" s="47">
        <v>4370.9517505470913</v>
      </c>
      <c r="O39" s="47">
        <v>2661.3592254678319</v>
      </c>
    </row>
    <row r="40" spans="1:15">
      <c r="B40" s="2" t="s">
        <v>557</v>
      </c>
      <c r="C40" s="47">
        <v>662.18099078208002</v>
      </c>
      <c r="D40" s="47">
        <v>462.69830375999999</v>
      </c>
      <c r="E40" s="47">
        <v>322.52484851238398</v>
      </c>
      <c r="F40" s="47">
        <v>303.22841710577472</v>
      </c>
      <c r="G40" s="47">
        <v>252.40098994725273</v>
      </c>
      <c r="H40" s="47">
        <v>213.14385459808</v>
      </c>
      <c r="I40" s="47">
        <v>194.9104455173526</v>
      </c>
      <c r="J40" s="47">
        <v>71.17791444400001</v>
      </c>
      <c r="K40" s="47">
        <v>78.792701624000003</v>
      </c>
      <c r="L40" s="47">
        <v>73.992777404000009</v>
      </c>
      <c r="M40" s="47">
        <v>68.742016616000001</v>
      </c>
      <c r="N40" s="47">
        <v>69.935279630579998</v>
      </c>
      <c r="O40" s="47">
        <v>64.322766395159988</v>
      </c>
    </row>
    <row r="41" spans="1:15">
      <c r="B41" s="2" t="s">
        <v>558</v>
      </c>
      <c r="C41" s="47">
        <v>1696.4382740537399</v>
      </c>
      <c r="D41" s="47">
        <v>1685.8917105889523</v>
      </c>
      <c r="E41" s="47">
        <v>1664.743334072183</v>
      </c>
      <c r="F41" s="47">
        <v>1708.1432518810047</v>
      </c>
      <c r="G41" s="47">
        <v>1732.3800730192618</v>
      </c>
      <c r="H41" s="47">
        <v>1767.8699526263324</v>
      </c>
      <c r="I41" s="47">
        <v>1712.0533861908623</v>
      </c>
      <c r="J41" s="47">
        <v>1758.2999380971137</v>
      </c>
      <c r="K41" s="47">
        <v>1694.405704601885</v>
      </c>
      <c r="L41" s="47">
        <v>1661.6105157444451</v>
      </c>
      <c r="M41" s="47">
        <v>1578.5544984299706</v>
      </c>
      <c r="N41" s="47">
        <v>1718.1264458000001</v>
      </c>
      <c r="O41" s="47">
        <v>1541.5551206</v>
      </c>
    </row>
    <row r="42" spans="1:15">
      <c r="B42" s="1" t="s">
        <v>559</v>
      </c>
      <c r="C42" s="85">
        <f>SUM(C39:C41)</f>
        <v>5962.4962490216876</v>
      </c>
      <c r="D42" s="85">
        <f t="shared" ref="D42:O42" si="10">SUM(D39:D41)</f>
        <v>5838.8208177424667</v>
      </c>
      <c r="E42" s="85">
        <f t="shared" si="10"/>
        <v>7044.1965820777032</v>
      </c>
      <c r="F42" s="85">
        <f t="shared" si="10"/>
        <v>6178.848930917904</v>
      </c>
      <c r="G42" s="85">
        <f t="shared" si="10"/>
        <v>5543.3206262460953</v>
      </c>
      <c r="H42" s="85">
        <f t="shared" si="10"/>
        <v>5526.9423595261915</v>
      </c>
      <c r="I42" s="85">
        <f t="shared" si="10"/>
        <v>4522.8058007792652</v>
      </c>
      <c r="J42" s="85">
        <f t="shared" si="10"/>
        <v>4613.8684239461127</v>
      </c>
      <c r="K42" s="85">
        <f t="shared" si="10"/>
        <v>5207.6805612701282</v>
      </c>
      <c r="L42" s="85">
        <f t="shared" si="10"/>
        <v>5544.3276130353852</v>
      </c>
      <c r="M42" s="85">
        <f t="shared" si="10"/>
        <v>5271.0236286056988</v>
      </c>
      <c r="N42" s="85">
        <f t="shared" si="10"/>
        <v>6159.013475977672</v>
      </c>
      <c r="O42" s="85">
        <f t="shared" si="10"/>
        <v>4267.2371124629917</v>
      </c>
    </row>
    <row r="43" spans="1:15">
      <c r="B43" s="1" t="s">
        <v>560</v>
      </c>
      <c r="C43" s="686">
        <f>C42/1000</f>
        <v>5.9624962490216875</v>
      </c>
      <c r="D43" s="686">
        <f t="shared" ref="D43:O43" si="11">D42/1000</f>
        <v>5.8388208177424668</v>
      </c>
      <c r="E43" s="686">
        <f t="shared" si="11"/>
        <v>7.0441965820777028</v>
      </c>
      <c r="F43" s="686">
        <f t="shared" si="11"/>
        <v>6.178848930917904</v>
      </c>
      <c r="G43" s="686">
        <f t="shared" si="11"/>
        <v>5.5433206262460955</v>
      </c>
      <c r="H43" s="686">
        <f t="shared" si="11"/>
        <v>5.5269423595261911</v>
      </c>
      <c r="I43" s="686">
        <f t="shared" si="11"/>
        <v>4.5228058007792651</v>
      </c>
      <c r="J43" s="686">
        <f t="shared" si="11"/>
        <v>4.613868423946113</v>
      </c>
      <c r="K43" s="686">
        <f t="shared" si="11"/>
        <v>5.207680561270128</v>
      </c>
      <c r="L43" s="686">
        <f t="shared" si="11"/>
        <v>5.5443276130353851</v>
      </c>
      <c r="M43" s="686">
        <f t="shared" si="11"/>
        <v>5.2710236286056986</v>
      </c>
      <c r="N43" s="686">
        <f t="shared" si="11"/>
        <v>6.1590134759776722</v>
      </c>
      <c r="O43" s="686">
        <f t="shared" si="11"/>
        <v>4.2672371124629915</v>
      </c>
    </row>
    <row r="44" spans="1:15">
      <c r="A44" s="1" t="s">
        <v>561</v>
      </c>
    </row>
    <row r="45" spans="1:15">
      <c r="B45" t="s">
        <v>199</v>
      </c>
      <c r="C45" s="685">
        <f t="shared" ref="C45:O45" si="12">C42-C35</f>
        <v>1265.4222490216871</v>
      </c>
      <c r="D45" s="685">
        <f t="shared" si="12"/>
        <v>1637.7168177424664</v>
      </c>
      <c r="E45" s="685">
        <f t="shared" si="12"/>
        <v>-11.774417922297289</v>
      </c>
      <c r="F45" s="685">
        <f t="shared" si="12"/>
        <v>161.30693091790454</v>
      </c>
      <c r="G45" s="685">
        <f t="shared" si="12"/>
        <v>-229.24037375390435</v>
      </c>
      <c r="H45" s="685">
        <f t="shared" si="12"/>
        <v>7.1643595261912196</v>
      </c>
      <c r="I45" s="685">
        <f t="shared" si="12"/>
        <v>230.74780077926607</v>
      </c>
      <c r="J45" s="685">
        <f t="shared" si="12"/>
        <v>95.742423946112467</v>
      </c>
      <c r="K45" s="685">
        <f t="shared" si="12"/>
        <v>451.82908127012797</v>
      </c>
      <c r="L45" s="685">
        <f t="shared" si="12"/>
        <v>643.45211303538508</v>
      </c>
      <c r="M45" s="685">
        <f t="shared" si="12"/>
        <v>472.64462860569893</v>
      </c>
      <c r="N45" s="685">
        <f t="shared" si="12"/>
        <v>112.36347597767235</v>
      </c>
      <c r="O45" s="685">
        <f t="shared" si="12"/>
        <v>311.68611246299133</v>
      </c>
    </row>
    <row r="46" spans="1:15">
      <c r="B46" t="s">
        <v>562</v>
      </c>
      <c r="C46" s="692">
        <f>C45/1000</f>
        <v>1.2654222490216871</v>
      </c>
      <c r="D46" s="692">
        <f t="shared" ref="D46:O46" si="13">D45/1000</f>
        <v>1.6377168177424664</v>
      </c>
      <c r="E46" s="692">
        <f t="shared" si="13"/>
        <v>-1.1774417922297289E-2</v>
      </c>
      <c r="F46" s="692">
        <f t="shared" si="13"/>
        <v>0.16130693091790455</v>
      </c>
      <c r="G46" s="692">
        <f t="shared" si="13"/>
        <v>-0.22924037375390435</v>
      </c>
      <c r="H46" s="692">
        <f t="shared" si="13"/>
        <v>7.1643595261912194E-3</v>
      </c>
      <c r="I46" s="692">
        <f t="shared" si="13"/>
        <v>0.23074780077926607</v>
      </c>
      <c r="J46" s="692">
        <f t="shared" si="13"/>
        <v>9.5742423946112473E-2</v>
      </c>
      <c r="K46" s="692">
        <f t="shared" si="13"/>
        <v>0.451829081270128</v>
      </c>
      <c r="L46" s="692">
        <f t="shared" si="13"/>
        <v>0.64345211303538508</v>
      </c>
      <c r="M46" s="692">
        <f t="shared" si="13"/>
        <v>0.47264462860569895</v>
      </c>
      <c r="N46" s="692">
        <f t="shared" si="13"/>
        <v>0.11236347597767235</v>
      </c>
      <c r="O46" s="692">
        <f t="shared" si="13"/>
        <v>0.31168611246299133</v>
      </c>
    </row>
    <row r="47" spans="1:15">
      <c r="B47" t="s">
        <v>546</v>
      </c>
      <c r="C47" s="691">
        <f>C35/C42</f>
        <v>0.78776971990056777</v>
      </c>
      <c r="D47" s="691">
        <f t="shared" ref="D47:O47" si="14">D35/D42</f>
        <v>0.7195124034692203</v>
      </c>
      <c r="E47" s="691">
        <f t="shared" si="14"/>
        <v>1.001671506151923</v>
      </c>
      <c r="F47" s="691">
        <f t="shared" si="14"/>
        <v>0.97389369238164214</v>
      </c>
      <c r="G47" s="691">
        <f t="shared" si="14"/>
        <v>1.0413543414155975</v>
      </c>
      <c r="H47" s="691">
        <f t="shared" si="14"/>
        <v>0.99870373905495091</v>
      </c>
      <c r="I47" s="691">
        <f t="shared" si="14"/>
        <v>0.94898127159483414</v>
      </c>
      <c r="J47" s="691">
        <f t="shared" si="14"/>
        <v>0.97924899126962384</v>
      </c>
      <c r="K47" s="691">
        <f t="shared" si="14"/>
        <v>0.91323794231343391</v>
      </c>
      <c r="L47" s="691">
        <f t="shared" si="14"/>
        <v>0.88394406717190532</v>
      </c>
      <c r="M47" s="691">
        <f t="shared" si="14"/>
        <v>0.91033152914726667</v>
      </c>
      <c r="N47" s="691">
        <f t="shared" si="14"/>
        <v>0.98175625424170132</v>
      </c>
      <c r="O47" s="691">
        <f t="shared" si="14"/>
        <v>0.92695833293334606</v>
      </c>
    </row>
    <row r="48" spans="1:15">
      <c r="B48" t="s">
        <v>547</v>
      </c>
      <c r="C48" s="691">
        <f>C45/C42</f>
        <v>0.21223028009943229</v>
      </c>
      <c r="D48" s="691">
        <f t="shared" ref="D48:O48" si="15">D45/D42</f>
        <v>0.28048759653077976</v>
      </c>
      <c r="E48" s="691">
        <f t="shared" si="15"/>
        <v>-1.6715061519229203E-3</v>
      </c>
      <c r="F48" s="691">
        <f t="shared" si="15"/>
        <v>2.6106307618357884E-2</v>
      </c>
      <c r="G48" s="691">
        <f t="shared" si="15"/>
        <v>-4.1354341415597427E-2</v>
      </c>
      <c r="H48" s="691">
        <f t="shared" si="15"/>
        <v>1.2962609450490811E-3</v>
      </c>
      <c r="I48" s="691">
        <f t="shared" si="15"/>
        <v>5.1018728405165872E-2</v>
      </c>
      <c r="J48" s="691">
        <f t="shared" si="15"/>
        <v>2.0751008730376115E-2</v>
      </c>
      <c r="K48" s="691">
        <f t="shared" si="15"/>
        <v>8.6762057686566141E-2</v>
      </c>
      <c r="L48" s="691">
        <f t="shared" si="15"/>
        <v>0.11605593282809466</v>
      </c>
      <c r="M48" s="691">
        <f t="shared" si="15"/>
        <v>8.9668470852733356E-2</v>
      </c>
      <c r="N48" s="691">
        <f t="shared" si="15"/>
        <v>1.8243745758298728E-2</v>
      </c>
      <c r="O48" s="691">
        <f t="shared" si="15"/>
        <v>7.3041667066653881E-2</v>
      </c>
    </row>
    <row r="50" spans="1:16" s="157" customFormat="1">
      <c r="A50" s="158" t="s">
        <v>249</v>
      </c>
    </row>
    <row r="51" spans="1:16">
      <c r="A51" s="1" t="s">
        <v>524</v>
      </c>
    </row>
    <row r="52" spans="1:16">
      <c r="B52" t="s">
        <v>563</v>
      </c>
      <c r="C52" s="168">
        <v>0</v>
      </c>
      <c r="D52" s="168">
        <v>0</v>
      </c>
      <c r="E52" s="168">
        <v>2760.471</v>
      </c>
      <c r="F52" s="168">
        <v>1970.356</v>
      </c>
      <c r="G52" s="168">
        <v>1358.42</v>
      </c>
      <c r="H52" s="168">
        <v>1345.857</v>
      </c>
      <c r="I52" s="168">
        <v>1268.1120000000001</v>
      </c>
      <c r="J52" s="168">
        <v>1303.633</v>
      </c>
      <c r="K52" s="168">
        <v>1283.2639999999999</v>
      </c>
      <c r="L52" s="168">
        <v>1173.6289999999999</v>
      </c>
      <c r="M52" s="168">
        <v>1049.9749999999999</v>
      </c>
      <c r="N52" s="15">
        <v>986.93399999999997</v>
      </c>
      <c r="O52" s="168">
        <v>574.22299999999996</v>
      </c>
      <c r="P52" s="693"/>
    </row>
    <row r="53" spans="1:16">
      <c r="B53" t="s">
        <v>564</v>
      </c>
      <c r="C53" s="692">
        <f>C52/1000</f>
        <v>0</v>
      </c>
      <c r="D53" s="692">
        <f t="shared" ref="D53:O53" si="16">D52/1000</f>
        <v>0</v>
      </c>
      <c r="E53" s="692">
        <f t="shared" si="16"/>
        <v>2.7604709999999999</v>
      </c>
      <c r="F53" s="692">
        <f t="shared" si="16"/>
        <v>1.970356</v>
      </c>
      <c r="G53" s="692">
        <f t="shared" si="16"/>
        <v>1.3584200000000002</v>
      </c>
      <c r="H53" s="692">
        <f t="shared" si="16"/>
        <v>1.3458570000000001</v>
      </c>
      <c r="I53" s="692">
        <f t="shared" si="16"/>
        <v>1.2681120000000001</v>
      </c>
      <c r="J53" s="692">
        <f t="shared" si="16"/>
        <v>1.303633</v>
      </c>
      <c r="K53" s="692">
        <f t="shared" si="16"/>
        <v>1.283264</v>
      </c>
      <c r="L53" s="692">
        <f t="shared" si="16"/>
        <v>1.1736289999999998</v>
      </c>
      <c r="M53" s="692">
        <f t="shared" si="16"/>
        <v>1.0499749999999999</v>
      </c>
      <c r="N53" s="692">
        <f t="shared" si="16"/>
        <v>0.98693399999999998</v>
      </c>
      <c r="O53" s="692">
        <f t="shared" si="16"/>
        <v>0.57422299999999993</v>
      </c>
    </row>
    <row r="55" spans="1:16">
      <c r="A55" s="1" t="s">
        <v>565</v>
      </c>
    </row>
    <row r="56" spans="1:16">
      <c r="B56" t="s">
        <v>566</v>
      </c>
      <c r="C56" s="111">
        <v>1867.1248244701646</v>
      </c>
      <c r="D56" s="111">
        <v>1702.4574106016209</v>
      </c>
      <c r="E56" s="111">
        <v>1586.097144332171</v>
      </c>
      <c r="F56" s="111">
        <v>1529.4432848817478</v>
      </c>
      <c r="G56" s="111">
        <v>1478.5145043317084</v>
      </c>
      <c r="H56" s="111">
        <v>1435.6843429896935</v>
      </c>
      <c r="I56" s="111">
        <v>1401.9170383455285</v>
      </c>
      <c r="J56" s="111">
        <v>1366.7845645068244</v>
      </c>
      <c r="K56" s="111">
        <v>1298.7289759536063</v>
      </c>
      <c r="L56" s="111">
        <v>1251.6753503592727</v>
      </c>
      <c r="M56" s="111">
        <v>1208.1094847051902</v>
      </c>
      <c r="N56" s="111">
        <v>1155.9360746284774</v>
      </c>
      <c r="O56" s="111">
        <v>1121.6059997882683</v>
      </c>
    </row>
    <row r="57" spans="1:16">
      <c r="B57" t="s">
        <v>567</v>
      </c>
      <c r="C57" s="183">
        <f>C56/1000</f>
        <v>1.8671248244701646</v>
      </c>
      <c r="D57" s="183">
        <f t="shared" ref="D57:O57" si="17">D56/1000</f>
        <v>1.702457410601621</v>
      </c>
      <c r="E57" s="183">
        <f t="shared" si="17"/>
        <v>1.586097144332171</v>
      </c>
      <c r="F57" s="183">
        <f t="shared" si="17"/>
        <v>1.5294432848817479</v>
      </c>
      <c r="G57" s="183">
        <f t="shared" si="17"/>
        <v>1.4785145043317085</v>
      </c>
      <c r="H57" s="183">
        <f t="shared" si="17"/>
        <v>1.4356843429896935</v>
      </c>
      <c r="I57" s="183">
        <f t="shared" si="17"/>
        <v>1.4019170383455284</v>
      </c>
      <c r="J57" s="183">
        <f t="shared" si="17"/>
        <v>1.3667845645068244</v>
      </c>
      <c r="K57" s="183">
        <f t="shared" si="17"/>
        <v>1.2987289759536063</v>
      </c>
      <c r="L57" s="183">
        <f t="shared" si="17"/>
        <v>1.2516753503592726</v>
      </c>
      <c r="M57" s="183">
        <f t="shared" si="17"/>
        <v>1.2081094847051903</v>
      </c>
      <c r="N57" s="183">
        <f t="shared" si="17"/>
        <v>1.1559360746284775</v>
      </c>
      <c r="O57" s="183">
        <f t="shared" si="17"/>
        <v>1.1216059997882684</v>
      </c>
    </row>
    <row r="59" spans="1:16">
      <c r="A59" s="1" t="s">
        <v>505</v>
      </c>
      <c r="B59" t="s">
        <v>199</v>
      </c>
      <c r="C59" s="686">
        <f>C56-C52</f>
        <v>1867.1248244701646</v>
      </c>
      <c r="D59" s="686">
        <f t="shared" ref="D59:O59" si="18">D56-D52</f>
        <v>1702.4574106016209</v>
      </c>
      <c r="E59" s="686">
        <f t="shared" si="18"/>
        <v>-1174.373855667829</v>
      </c>
      <c r="F59" s="686">
        <f t="shared" si="18"/>
        <v>-440.91271511825221</v>
      </c>
      <c r="G59" s="686">
        <f t="shared" si="18"/>
        <v>120.09450433170832</v>
      </c>
      <c r="H59" s="686">
        <f t="shared" si="18"/>
        <v>89.827342989693534</v>
      </c>
      <c r="I59" s="686">
        <f t="shared" si="18"/>
        <v>133.80503834552837</v>
      </c>
      <c r="J59" s="686">
        <f t="shared" si="18"/>
        <v>63.151564506824343</v>
      </c>
      <c r="K59" s="686">
        <f t="shared" si="18"/>
        <v>15.464975953606427</v>
      </c>
      <c r="L59" s="686">
        <f t="shared" si="18"/>
        <v>78.046350359272765</v>
      </c>
      <c r="M59" s="686">
        <f t="shared" si="18"/>
        <v>158.13448470519029</v>
      </c>
      <c r="N59" s="686">
        <f t="shared" si="18"/>
        <v>169.00207462847743</v>
      </c>
      <c r="O59" s="686">
        <f t="shared" si="18"/>
        <v>547.38299978826831</v>
      </c>
    </row>
    <row r="60" spans="1:16">
      <c r="B60" t="s">
        <v>568</v>
      </c>
      <c r="C60" s="686">
        <f>C59/1000</f>
        <v>1.8671248244701646</v>
      </c>
      <c r="D60" s="686">
        <f t="shared" ref="D60:O60" si="19">D59/1000</f>
        <v>1.702457410601621</v>
      </c>
      <c r="E60" s="686">
        <f t="shared" si="19"/>
        <v>-1.1743738556678291</v>
      </c>
      <c r="F60" s="686">
        <f t="shared" si="19"/>
        <v>-0.4409127151182522</v>
      </c>
      <c r="G60" s="686">
        <f t="shared" si="19"/>
        <v>0.12009450433170832</v>
      </c>
      <c r="H60" s="686">
        <f t="shared" si="19"/>
        <v>8.982734298969354E-2</v>
      </c>
      <c r="I60" s="686">
        <f t="shared" si="19"/>
        <v>0.13380503834552837</v>
      </c>
      <c r="J60" s="686">
        <f t="shared" si="19"/>
        <v>6.315156450682434E-2</v>
      </c>
      <c r="K60" s="686">
        <f t="shared" si="19"/>
        <v>1.5464975953606427E-2</v>
      </c>
      <c r="L60" s="686">
        <f t="shared" si="19"/>
        <v>7.8046350359272765E-2</v>
      </c>
      <c r="M60" s="686">
        <f t="shared" si="19"/>
        <v>0.15813448470519029</v>
      </c>
      <c r="N60" s="686">
        <f t="shared" si="19"/>
        <v>0.16900207462847744</v>
      </c>
      <c r="O60" s="686">
        <f t="shared" si="19"/>
        <v>0.54738299978826832</v>
      </c>
    </row>
    <row r="61" spans="1:16">
      <c r="B61" t="s">
        <v>546</v>
      </c>
      <c r="C61" s="691">
        <f>C52/C56</f>
        <v>0</v>
      </c>
      <c r="D61" s="691">
        <f t="shared" ref="D61:O61" si="20">D52/D56</f>
        <v>0</v>
      </c>
      <c r="E61" s="691">
        <f t="shared" si="20"/>
        <v>1.7404173570732335</v>
      </c>
      <c r="F61" s="691">
        <f t="shared" si="20"/>
        <v>1.288283141634992</v>
      </c>
      <c r="G61" s="691">
        <f t="shared" si="20"/>
        <v>0.91877353655993299</v>
      </c>
      <c r="H61" s="691">
        <f t="shared" si="20"/>
        <v>0.93743238656302708</v>
      </c>
      <c r="I61" s="691">
        <f t="shared" si="20"/>
        <v>0.90455566578787128</v>
      </c>
      <c r="J61" s="691">
        <f t="shared" si="20"/>
        <v>0.9537955240739705</v>
      </c>
      <c r="K61" s="691">
        <f t="shared" si="20"/>
        <v>0.98809222228814053</v>
      </c>
      <c r="L61" s="691">
        <f t="shared" si="20"/>
        <v>0.93764649089169105</v>
      </c>
      <c r="M61" s="691">
        <f t="shared" si="20"/>
        <v>0.8691058329504141</v>
      </c>
      <c r="N61" s="691">
        <f t="shared" si="20"/>
        <v>0.85379634883114497</v>
      </c>
      <c r="O61" s="691">
        <f t="shared" si="20"/>
        <v>0.51196498601861906</v>
      </c>
    </row>
    <row r="62" spans="1:16">
      <c r="B62" t="s">
        <v>547</v>
      </c>
      <c r="C62" s="691">
        <f>C59/C56</f>
        <v>1</v>
      </c>
      <c r="D62" s="691">
        <f t="shared" ref="D62:O62" si="21">D59/D56</f>
        <v>1</v>
      </c>
      <c r="E62" s="691">
        <f t="shared" si="21"/>
        <v>-0.74041735707323353</v>
      </c>
      <c r="F62" s="691">
        <f t="shared" si="21"/>
        <v>-0.28828314163499191</v>
      </c>
      <c r="G62" s="691">
        <f t="shared" si="21"/>
        <v>8.1226463440067023E-2</v>
      </c>
      <c r="H62" s="691">
        <f t="shared" si="21"/>
        <v>6.2567613436972883E-2</v>
      </c>
      <c r="I62" s="691">
        <f t="shared" si="21"/>
        <v>9.5444334212128779E-2</v>
      </c>
      <c r="J62" s="691">
        <f t="shared" si="21"/>
        <v>4.6204475926029547E-2</v>
      </c>
      <c r="K62" s="691">
        <f t="shared" si="21"/>
        <v>1.190777771185947E-2</v>
      </c>
      <c r="L62" s="691">
        <f t="shared" si="21"/>
        <v>6.2353509108308995E-2</v>
      </c>
      <c r="M62" s="691">
        <f t="shared" si="21"/>
        <v>0.1308941670495859</v>
      </c>
      <c r="N62" s="691">
        <f t="shared" si="21"/>
        <v>0.14620365116885498</v>
      </c>
      <c r="O62" s="691">
        <f t="shared" si="21"/>
        <v>0.48803501398138099</v>
      </c>
    </row>
  </sheetData>
  <conditionalFormatting sqref="A24">
    <cfRule type="cellIs" dxfId="3" priority="1" operator="equal">
      <formula>"**LPG discrepency"</formula>
    </cfRule>
    <cfRule type="cellIs" dxfId="2" priority="4" operator="equal">
      <formula>"LPG Offset"</formula>
    </cfRule>
  </conditionalFormatting>
  <conditionalFormatting sqref="A24:O24 B25">
    <cfRule type="cellIs" dxfId="1" priority="3" operator="equal">
      <formula>"LPG fffset"</formula>
    </cfRule>
  </conditionalFormatting>
  <conditionalFormatting sqref="B24:O24 B25">
    <cfRule type="cellIs" dxfId="0" priority="2" operator="equal">
      <formula>"LPG offset"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8A02-9CAC-4AC5-A19B-BFC9B0BF31AA}">
  <dimension ref="A1:EG96"/>
  <sheetViews>
    <sheetView zoomScale="55" zoomScaleNormal="55" workbookViewId="0">
      <selection activeCell="P121" sqref="P121"/>
    </sheetView>
  </sheetViews>
  <sheetFormatPr defaultColWidth="9.140625" defaultRowHeight="15"/>
  <cols>
    <col min="1" max="1" width="15.140625" customWidth="1"/>
    <col min="2" max="2" width="16" customWidth="1"/>
    <col min="3" max="3" width="12.85546875" customWidth="1"/>
    <col min="4" max="4" width="16.85546875" customWidth="1"/>
    <col min="5" max="5" width="12.85546875" customWidth="1"/>
    <col min="6" max="6" width="15.5703125" customWidth="1"/>
    <col min="7" max="7" width="15.7109375" customWidth="1"/>
    <col min="8" max="17" width="12.85546875" customWidth="1"/>
    <col min="18" max="20" width="15" customWidth="1"/>
    <col min="21" max="21" width="10.7109375" bestFit="1" customWidth="1"/>
    <col min="22" max="22" width="13.28515625" bestFit="1" customWidth="1"/>
    <col min="23" max="23" width="12.42578125" bestFit="1" customWidth="1"/>
    <col min="24" max="24" width="11.140625" bestFit="1" customWidth="1"/>
    <col min="25" max="32" width="10.7109375" bestFit="1" customWidth="1"/>
    <col min="33" max="33" width="14.42578125" customWidth="1"/>
    <col min="34" max="34" width="14.5703125" customWidth="1"/>
    <col min="35" max="58" width="13.140625" customWidth="1"/>
    <col min="59" max="138" width="13" customWidth="1"/>
  </cols>
  <sheetData>
    <row r="1" spans="1:77">
      <c r="A1" s="148" t="s">
        <v>569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</row>
    <row r="2" spans="1:77">
      <c r="A2" s="196" t="s">
        <v>570</v>
      </c>
      <c r="G2" s="194" t="s">
        <v>571</v>
      </c>
      <c r="H2" s="194"/>
      <c r="I2" s="194"/>
      <c r="K2" s="324"/>
      <c r="L2" s="324"/>
      <c r="M2" s="324"/>
      <c r="N2" s="324"/>
    </row>
    <row r="4" spans="1:77">
      <c r="A4" s="1" t="s">
        <v>0</v>
      </c>
      <c r="B4" t="s">
        <v>572</v>
      </c>
      <c r="C4" t="s">
        <v>573</v>
      </c>
      <c r="D4" t="s">
        <v>574</v>
      </c>
      <c r="E4" t="s">
        <v>575</v>
      </c>
      <c r="G4" s="1" t="s">
        <v>229</v>
      </c>
      <c r="H4" s="1" t="s">
        <v>576</v>
      </c>
      <c r="I4" s="1" t="s">
        <v>231</v>
      </c>
      <c r="M4" s="50"/>
      <c r="N4" s="50"/>
      <c r="O4" s="50"/>
      <c r="P4" s="50"/>
    </row>
    <row r="5" spans="1:77">
      <c r="A5" s="230">
        <v>42825</v>
      </c>
      <c r="B5" s="111">
        <v>32645150</v>
      </c>
      <c r="F5" s="1" t="s">
        <v>577</v>
      </c>
      <c r="G5" s="28">
        <v>0.05</v>
      </c>
      <c r="H5" s="28">
        <v>0.03</v>
      </c>
      <c r="I5" s="28">
        <v>0.01</v>
      </c>
    </row>
    <row r="6" spans="1:77">
      <c r="A6" s="230">
        <v>42916</v>
      </c>
      <c r="B6" s="111">
        <v>31515323</v>
      </c>
      <c r="C6" s="643">
        <f>B5-B6</f>
        <v>1129827</v>
      </c>
      <c r="D6" s="36">
        <f>C6/B5</f>
        <v>3.4609337068446613E-2</v>
      </c>
      <c r="E6" s="8">
        <f>AVERAGE($D$6:D6)</f>
        <v>3.4609337068446613E-2</v>
      </c>
      <c r="F6" s="1" t="s">
        <v>578</v>
      </c>
      <c r="G6" s="59">
        <f>G5/2</f>
        <v>2.5000000000000001E-2</v>
      </c>
      <c r="H6" s="59">
        <f t="shared" ref="H6:I6" si="0">H5/2</f>
        <v>1.4999999999999999E-2</v>
      </c>
      <c r="I6" s="59">
        <f t="shared" si="0"/>
        <v>5.0000000000000001E-3</v>
      </c>
    </row>
    <row r="7" spans="1:77">
      <c r="A7" s="230">
        <v>43008</v>
      </c>
      <c r="B7" s="111">
        <v>30514524.999999996</v>
      </c>
      <c r="C7" s="643">
        <f t="shared" ref="C7:C36" si="1">B6-B7</f>
        <v>1000798.0000000037</v>
      </c>
      <c r="D7" s="36">
        <f t="shared" ref="D7:D36" si="2">C7/B6</f>
        <v>3.1755917589675463E-2</v>
      </c>
      <c r="E7" s="8">
        <f>AVERAGE($D$6:D7)</f>
        <v>3.3182627329061035E-2</v>
      </c>
      <c r="F7" s="1"/>
      <c r="G7" s="59"/>
      <c r="H7" s="59"/>
      <c r="I7" s="59"/>
    </row>
    <row r="8" spans="1:77">
      <c r="A8" s="230">
        <v>43100</v>
      </c>
      <c r="B8" s="111">
        <v>29580875</v>
      </c>
      <c r="C8" s="643">
        <f t="shared" si="1"/>
        <v>933649.99999999627</v>
      </c>
      <c r="D8" s="36">
        <f t="shared" si="2"/>
        <v>3.0596904261167308E-2</v>
      </c>
      <c r="E8" s="8">
        <f>AVERAGE($D$6:D8)</f>
        <v>3.2320719639763122E-2</v>
      </c>
    </row>
    <row r="9" spans="1:77">
      <c r="A9" s="230">
        <v>43190</v>
      </c>
      <c r="B9" s="111">
        <v>28416358</v>
      </c>
      <c r="C9" s="643">
        <f t="shared" si="1"/>
        <v>1164517</v>
      </c>
      <c r="D9" s="36">
        <f t="shared" si="2"/>
        <v>3.9367226290635417E-2</v>
      </c>
      <c r="E9" s="8">
        <f>AVERAGE($D$6:D9)</f>
        <v>3.4082346302481199E-2</v>
      </c>
    </row>
    <row r="10" spans="1:77">
      <c r="A10" s="230">
        <v>43281</v>
      </c>
      <c r="B10" s="111">
        <v>25560414</v>
      </c>
      <c r="C10" s="643">
        <f t="shared" si="1"/>
        <v>2855944</v>
      </c>
      <c r="D10" s="36">
        <f t="shared" si="2"/>
        <v>0.1005035198388196</v>
      </c>
      <c r="E10" s="8">
        <f>AVERAGE($D$6:D10)</f>
        <v>4.7366581009748873E-2</v>
      </c>
    </row>
    <row r="11" spans="1:77">
      <c r="A11" s="230">
        <v>43373</v>
      </c>
      <c r="B11" s="111">
        <v>24632772</v>
      </c>
      <c r="C11" s="643">
        <f t="shared" si="1"/>
        <v>927642</v>
      </c>
      <c r="D11" s="36">
        <f t="shared" si="2"/>
        <v>3.6292135174336375E-2</v>
      </c>
      <c r="E11" s="8">
        <f>AVERAGE($D$6:D11)</f>
        <v>4.5520840037180127E-2</v>
      </c>
    </row>
    <row r="12" spans="1:77">
      <c r="A12" s="230">
        <v>43465</v>
      </c>
      <c r="B12" s="111">
        <v>23905961.000000004</v>
      </c>
      <c r="C12" s="643">
        <f t="shared" si="1"/>
        <v>726810.99999999627</v>
      </c>
      <c r="D12" s="36">
        <f t="shared" si="2"/>
        <v>2.9505855045465296E-2</v>
      </c>
      <c r="E12" s="8">
        <f>AVERAGE($D$6:D12)</f>
        <v>4.3232985038363717E-2</v>
      </c>
    </row>
    <row r="13" spans="1:77">
      <c r="A13" s="230">
        <v>43555</v>
      </c>
      <c r="B13" s="111">
        <v>22437390</v>
      </c>
      <c r="C13" s="643">
        <f t="shared" si="1"/>
        <v>1468571.0000000037</v>
      </c>
      <c r="D13" s="36">
        <f t="shared" si="2"/>
        <v>6.143116354954329E-2</v>
      </c>
      <c r="E13" s="8">
        <f>AVERAGE($D$6:D13)</f>
        <v>4.5507757352261168E-2</v>
      </c>
    </row>
    <row r="14" spans="1:77">
      <c r="A14" s="230">
        <v>43646</v>
      </c>
      <c r="B14" s="111">
        <v>21087375</v>
      </c>
      <c r="C14" s="643">
        <f t="shared" si="1"/>
        <v>1350015</v>
      </c>
      <c r="D14" s="36">
        <f t="shared" si="2"/>
        <v>6.0168094417398815E-2</v>
      </c>
      <c r="E14" s="8">
        <f>AVERAGE($D$6:D14)</f>
        <v>4.713668369283202E-2</v>
      </c>
    </row>
    <row r="15" spans="1:77">
      <c r="A15" s="230">
        <v>43738</v>
      </c>
      <c r="B15" s="111">
        <v>19876495</v>
      </c>
      <c r="C15" s="643">
        <f t="shared" si="1"/>
        <v>1210880</v>
      </c>
      <c r="D15" s="36">
        <f t="shared" si="2"/>
        <v>5.7422035696714266E-2</v>
      </c>
      <c r="E15" s="8">
        <f>AVERAGE($D$6:D15)</f>
        <v>4.8165218893220244E-2</v>
      </c>
    </row>
    <row r="16" spans="1:77">
      <c r="A16" s="230">
        <v>43830</v>
      </c>
      <c r="B16" s="111">
        <v>20058937</v>
      </c>
      <c r="C16" s="643">
        <f t="shared" si="1"/>
        <v>-182442</v>
      </c>
      <c r="D16" s="36">
        <f t="shared" si="2"/>
        <v>-9.1787812690315874E-3</v>
      </c>
      <c r="E16" s="8">
        <f>AVERAGE($D$6:D16)</f>
        <v>4.2952127969379167E-2</v>
      </c>
    </row>
    <row r="17" spans="1:19">
      <c r="A17" s="230">
        <v>43921</v>
      </c>
      <c r="B17" s="111">
        <v>19049208</v>
      </c>
      <c r="C17" s="643">
        <f t="shared" si="1"/>
        <v>1009729</v>
      </c>
      <c r="D17" s="36">
        <f t="shared" si="2"/>
        <v>5.0338111137195357E-2</v>
      </c>
      <c r="E17" s="8">
        <f>AVERAGE($D$6:D17)</f>
        <v>4.3567626566697187E-2</v>
      </c>
    </row>
    <row r="18" spans="1:19">
      <c r="A18" s="230">
        <v>44012</v>
      </c>
      <c r="B18" s="111">
        <v>17091308.999999996</v>
      </c>
      <c r="C18" s="643">
        <f t="shared" si="1"/>
        <v>1957899.0000000037</v>
      </c>
      <c r="D18" s="36">
        <f t="shared" si="2"/>
        <v>0.10278112349867793</v>
      </c>
      <c r="E18" s="8">
        <f>AVERAGE($D$6:D18)</f>
        <v>4.8122510946080325E-2</v>
      </c>
    </row>
    <row r="19" spans="1:19">
      <c r="A19" s="230">
        <v>44104</v>
      </c>
      <c r="B19" s="111">
        <v>16861643</v>
      </c>
      <c r="C19" s="643">
        <f t="shared" si="1"/>
        <v>229665.99999999627</v>
      </c>
      <c r="D19" s="36">
        <f t="shared" si="2"/>
        <v>1.343758983001222E-2</v>
      </c>
      <c r="E19" s="8">
        <f>AVERAGE($D$6:D19)</f>
        <v>4.5645016580646888E-2</v>
      </c>
    </row>
    <row r="20" spans="1:19">
      <c r="A20" s="230">
        <v>44196</v>
      </c>
      <c r="B20" s="111">
        <v>16528337</v>
      </c>
      <c r="C20" s="643">
        <f t="shared" si="1"/>
        <v>333306</v>
      </c>
      <c r="D20" s="36">
        <f t="shared" si="2"/>
        <v>1.9767112848967327E-2</v>
      </c>
      <c r="E20" s="8">
        <f>AVERAGE($D$6:D20)</f>
        <v>4.3919822998534919E-2</v>
      </c>
    </row>
    <row r="21" spans="1:19">
      <c r="A21" s="230">
        <v>44286</v>
      </c>
      <c r="B21" s="111">
        <v>16396218.999999998</v>
      </c>
      <c r="C21" s="643">
        <f t="shared" si="1"/>
        <v>132118.00000000186</v>
      </c>
      <c r="D21" s="36">
        <f t="shared" si="2"/>
        <v>7.9934236578067027E-3</v>
      </c>
      <c r="E21" s="8">
        <f>AVERAGE($D$6:D21)</f>
        <v>4.1674423039739408E-2</v>
      </c>
    </row>
    <row r="22" spans="1:19">
      <c r="A22" s="230">
        <v>44377</v>
      </c>
      <c r="B22" s="111">
        <v>16806373</v>
      </c>
      <c r="C22" s="643">
        <f t="shared" si="1"/>
        <v>-410154.00000000186</v>
      </c>
      <c r="D22" s="36">
        <f t="shared" si="2"/>
        <v>-2.5015157457948196E-2</v>
      </c>
      <c r="E22" s="8">
        <f>AVERAGE($D$6:D22)</f>
        <v>3.7751506539875426E-2</v>
      </c>
    </row>
    <row r="23" spans="1:19">
      <c r="A23" s="230">
        <v>44469</v>
      </c>
      <c r="B23" s="111">
        <v>16821126</v>
      </c>
      <c r="C23" s="643">
        <f t="shared" si="1"/>
        <v>-14753</v>
      </c>
      <c r="D23" s="36">
        <f t="shared" si="2"/>
        <v>-8.7782176439854098E-4</v>
      </c>
      <c r="E23" s="8">
        <f>AVERAGE($D$6:D23)</f>
        <v>3.5605432745193538E-2</v>
      </c>
      <c r="S23" s="126"/>
    </row>
    <row r="24" spans="1:19">
      <c r="A24" s="230">
        <v>44561</v>
      </c>
      <c r="B24" s="111">
        <v>16669233</v>
      </c>
      <c r="C24" s="643">
        <f t="shared" si="1"/>
        <v>151893</v>
      </c>
      <c r="D24" s="36">
        <f t="shared" si="2"/>
        <v>9.0298949071542529E-3</v>
      </c>
      <c r="E24" s="8">
        <f>AVERAGE($D$6:D24)</f>
        <v>3.4206720227401996E-2</v>
      </c>
    </row>
    <row r="25" spans="1:19">
      <c r="A25" s="230">
        <v>44651</v>
      </c>
      <c r="B25" s="111">
        <v>16397405</v>
      </c>
      <c r="C25" s="643">
        <f t="shared" si="1"/>
        <v>271828</v>
      </c>
      <c r="D25" s="36">
        <f t="shared" si="2"/>
        <v>1.6307169022113974E-2</v>
      </c>
      <c r="E25" s="8">
        <f>AVERAGE($D$6:D25)</f>
        <v>3.3311742667137594E-2</v>
      </c>
    </row>
    <row r="26" spans="1:19">
      <c r="A26" s="230">
        <v>44742</v>
      </c>
      <c r="B26" s="111">
        <v>16162192</v>
      </c>
      <c r="C26" s="643">
        <f t="shared" si="1"/>
        <v>235213</v>
      </c>
      <c r="D26" s="36">
        <f t="shared" si="2"/>
        <v>1.4344525856377884E-2</v>
      </c>
      <c r="E26" s="8">
        <f>AVERAGE($D$6:D26)</f>
        <v>3.2408541866625229E-2</v>
      </c>
    </row>
    <row r="27" spans="1:19">
      <c r="A27" s="230">
        <v>44834</v>
      </c>
      <c r="B27" s="111">
        <v>14897997</v>
      </c>
      <c r="C27" s="643">
        <f t="shared" si="1"/>
        <v>1264195</v>
      </c>
      <c r="D27" s="36">
        <f t="shared" si="2"/>
        <v>7.821927867210092E-2</v>
      </c>
      <c r="E27" s="8">
        <f>AVERAGE($D$6:D27)</f>
        <v>3.4490848085055939E-2</v>
      </c>
    </row>
    <row r="28" spans="1:19">
      <c r="A28" s="230">
        <v>44926</v>
      </c>
      <c r="B28" s="111">
        <v>14764186</v>
      </c>
      <c r="C28" s="643">
        <f t="shared" si="1"/>
        <v>133811</v>
      </c>
      <c r="D28" s="36">
        <f t="shared" si="2"/>
        <v>8.9818114475388872E-3</v>
      </c>
      <c r="E28" s="8">
        <f>AVERAGE($D$6:D28)</f>
        <v>3.3381759535598673E-2</v>
      </c>
    </row>
    <row r="29" spans="1:19">
      <c r="A29" s="230">
        <v>45016</v>
      </c>
      <c r="B29" s="111">
        <v>14771926</v>
      </c>
      <c r="C29" s="643">
        <f t="shared" si="1"/>
        <v>-7740</v>
      </c>
      <c r="D29" s="36">
        <f t="shared" si="2"/>
        <v>-5.242415667209828E-4</v>
      </c>
      <c r="E29" s="8">
        <f>AVERAGE($D$6:D29)</f>
        <v>3.1969009489668694E-2</v>
      </c>
    </row>
    <row r="30" spans="1:19">
      <c r="A30" s="230">
        <v>45107</v>
      </c>
      <c r="B30" s="111">
        <v>14358049</v>
      </c>
      <c r="C30" s="643">
        <f t="shared" si="1"/>
        <v>413877</v>
      </c>
      <c r="D30" s="36">
        <f t="shared" si="2"/>
        <v>2.8017808916724875E-2</v>
      </c>
      <c r="E30" s="8">
        <f>AVERAGE($D$6:D30)</f>
        <v>3.1810961466750942E-2</v>
      </c>
    </row>
    <row r="31" spans="1:19">
      <c r="A31" s="230">
        <v>45199</v>
      </c>
      <c r="B31" s="111">
        <v>14199057</v>
      </c>
      <c r="C31" s="643">
        <f t="shared" si="1"/>
        <v>158992</v>
      </c>
      <c r="D31" s="36">
        <f t="shared" si="2"/>
        <v>1.1073370762281144E-2</v>
      </c>
      <c r="E31" s="8">
        <f>AVERAGE($D$6:D31)</f>
        <v>3.1013361824271331E-2</v>
      </c>
      <c r="P31" s="14"/>
    </row>
    <row r="32" spans="1:19">
      <c r="A32" s="230">
        <v>45291</v>
      </c>
      <c r="B32" s="111">
        <v>13320000</v>
      </c>
      <c r="C32" s="643">
        <f t="shared" si="1"/>
        <v>879057</v>
      </c>
      <c r="D32" s="36">
        <f t="shared" si="2"/>
        <v>6.1909533851438166E-2</v>
      </c>
      <c r="E32" s="8">
        <f>AVERAGE($D$6:D32)</f>
        <v>3.2157664491944175E-2</v>
      </c>
      <c r="P32" s="14"/>
    </row>
    <row r="33" spans="1:16">
      <c r="A33" s="230">
        <v>45382</v>
      </c>
      <c r="B33" s="111">
        <v>12700000</v>
      </c>
      <c r="C33" s="643">
        <f t="shared" si="1"/>
        <v>620000</v>
      </c>
      <c r="D33" s="36">
        <f t="shared" si="2"/>
        <v>4.6546546546546545E-2</v>
      </c>
      <c r="E33" s="8">
        <f>AVERAGE($D$6:D33)</f>
        <v>3.2671553136751401E-2</v>
      </c>
      <c r="P33" s="14"/>
    </row>
    <row r="34" spans="1:16">
      <c r="A34" s="230">
        <v>45473</v>
      </c>
      <c r="B34" s="111">
        <v>12490000</v>
      </c>
      <c r="C34" s="643">
        <f t="shared" si="1"/>
        <v>210000</v>
      </c>
      <c r="D34" s="36">
        <f t="shared" si="2"/>
        <v>1.6535433070866142E-2</v>
      </c>
      <c r="E34" s="8">
        <f>AVERAGE($D$6:D34)</f>
        <v>3.2115135203445014E-2</v>
      </c>
      <c r="P34" s="14"/>
    </row>
    <row r="35" spans="1:16">
      <c r="A35" s="230">
        <v>45565</v>
      </c>
      <c r="B35" s="111">
        <v>12007861</v>
      </c>
      <c r="C35" s="643">
        <f t="shared" si="1"/>
        <v>482139</v>
      </c>
      <c r="D35" s="36">
        <f t="shared" si="2"/>
        <v>3.8602001601281022E-2</v>
      </c>
      <c r="E35" s="8">
        <f>AVERAGE($D$6:D35)</f>
        <v>3.2331364083372879E-2</v>
      </c>
      <c r="P35" s="14"/>
    </row>
    <row r="36" spans="1:16">
      <c r="A36" s="230">
        <v>45657</v>
      </c>
      <c r="B36" s="111">
        <v>11540391</v>
      </c>
      <c r="C36" s="643">
        <f t="shared" si="1"/>
        <v>467470</v>
      </c>
      <c r="D36" s="36">
        <f t="shared" si="2"/>
        <v>3.8930330722515859E-2</v>
      </c>
      <c r="E36" s="8">
        <f>AVERAGE($D$6:D36)</f>
        <v>3.2544233974958141E-2</v>
      </c>
      <c r="P36" s="14"/>
    </row>
    <row r="37" spans="1:16">
      <c r="A37" s="428">
        <v>45747</v>
      </c>
      <c r="B37" s="20"/>
      <c r="C37" s="20"/>
      <c r="D37" s="20"/>
      <c r="E37" s="20"/>
      <c r="F37" s="20"/>
      <c r="G37" s="429">
        <f>B36-(B36*$G$5)</f>
        <v>10963371.449999999</v>
      </c>
      <c r="H37" s="429">
        <f>B36-(B36*$H$5)</f>
        <v>11194179.27</v>
      </c>
      <c r="I37" s="429">
        <f>B36-(B36*$I$5)</f>
        <v>11424987.09</v>
      </c>
      <c r="P37" s="14"/>
    </row>
    <row r="38" spans="1:16">
      <c r="A38" s="428">
        <v>45838</v>
      </c>
      <c r="B38" s="20"/>
      <c r="C38" s="20"/>
      <c r="D38" s="20"/>
      <c r="E38" s="20"/>
      <c r="F38" s="20"/>
      <c r="G38" s="429">
        <f t="shared" ref="G38:G60" si="3">G37-(G37*$G$5)</f>
        <v>10415202.877499999</v>
      </c>
      <c r="H38" s="429">
        <f t="shared" ref="H38:H60" si="4">H37-(H37*$H$5)</f>
        <v>10858353.891899999</v>
      </c>
      <c r="I38" s="429">
        <f t="shared" ref="I38:I60" si="5">I37-(I37*$I$5)</f>
        <v>11310737.2191</v>
      </c>
      <c r="P38" s="14"/>
    </row>
    <row r="39" spans="1:16">
      <c r="A39" s="428">
        <v>45930</v>
      </c>
      <c r="B39" s="20"/>
      <c r="C39" s="20"/>
      <c r="D39" s="20"/>
      <c r="E39" s="20"/>
      <c r="F39" s="20"/>
      <c r="G39" s="429">
        <f t="shared" si="3"/>
        <v>9894442.7336250003</v>
      </c>
      <c r="H39" s="429">
        <f t="shared" si="4"/>
        <v>10532603.275142999</v>
      </c>
      <c r="I39" s="429">
        <f t="shared" si="5"/>
        <v>11197629.846909</v>
      </c>
      <c r="P39" s="14"/>
    </row>
    <row r="40" spans="1:16">
      <c r="A40" s="428">
        <v>46022</v>
      </c>
      <c r="B40" s="20"/>
      <c r="C40" s="20"/>
      <c r="D40" s="20"/>
      <c r="E40" s="20"/>
      <c r="F40" s="20"/>
      <c r="G40" s="429">
        <f>G39-(G39*$G$5)</f>
        <v>9399720.596943751</v>
      </c>
      <c r="H40" s="429">
        <f t="shared" si="4"/>
        <v>10216625.17688871</v>
      </c>
      <c r="I40" s="429">
        <f t="shared" si="5"/>
        <v>11085653.548439909</v>
      </c>
      <c r="P40" s="14"/>
    </row>
    <row r="41" spans="1:16">
      <c r="A41" s="428">
        <v>46112</v>
      </c>
      <c r="B41" s="20"/>
      <c r="C41" s="20"/>
      <c r="D41" s="20"/>
      <c r="E41" s="20"/>
      <c r="F41" s="20"/>
      <c r="G41" s="429">
        <f t="shared" si="3"/>
        <v>8929734.5670965631</v>
      </c>
      <c r="H41" s="429">
        <f t="shared" si="4"/>
        <v>9910126.4215820488</v>
      </c>
      <c r="I41" s="429">
        <f t="shared" si="5"/>
        <v>10974797.012955509</v>
      </c>
      <c r="P41" s="14"/>
    </row>
    <row r="42" spans="1:16">
      <c r="A42" s="428">
        <v>46203</v>
      </c>
      <c r="B42" s="20"/>
      <c r="C42" s="20"/>
      <c r="D42" s="20"/>
      <c r="E42" s="20"/>
      <c r="F42" s="20"/>
      <c r="G42" s="429">
        <f t="shared" si="3"/>
        <v>8483247.8387417346</v>
      </c>
      <c r="H42" s="429">
        <f t="shared" si="4"/>
        <v>9612822.6289345864</v>
      </c>
      <c r="I42" s="429">
        <f t="shared" si="5"/>
        <v>10865049.042825954</v>
      </c>
      <c r="P42" s="14"/>
    </row>
    <row r="43" spans="1:16">
      <c r="A43" s="428">
        <v>46295</v>
      </c>
      <c r="B43" s="20"/>
      <c r="C43" s="20"/>
      <c r="D43" s="20"/>
      <c r="E43" s="20"/>
      <c r="F43" s="20"/>
      <c r="G43" s="429">
        <f t="shared" si="3"/>
        <v>8059085.4468046483</v>
      </c>
      <c r="H43" s="429">
        <f t="shared" si="4"/>
        <v>9324437.9500665497</v>
      </c>
      <c r="I43" s="429">
        <f t="shared" si="5"/>
        <v>10756398.552397694</v>
      </c>
      <c r="P43" s="14"/>
    </row>
    <row r="44" spans="1:16">
      <c r="A44" s="428">
        <v>46387</v>
      </c>
      <c r="B44" s="20"/>
      <c r="C44" s="20"/>
      <c r="D44" s="20"/>
      <c r="E44" s="20"/>
      <c r="F44" s="20"/>
      <c r="G44" s="429">
        <f t="shared" si="3"/>
        <v>7656131.1744644158</v>
      </c>
      <c r="H44" s="429">
        <f t="shared" si="4"/>
        <v>9044704.8115645535</v>
      </c>
      <c r="I44" s="429">
        <f t="shared" si="5"/>
        <v>10648834.566873718</v>
      </c>
      <c r="P44" s="14"/>
    </row>
    <row r="45" spans="1:16">
      <c r="A45" s="428">
        <v>46477</v>
      </c>
      <c r="B45" s="20"/>
      <c r="C45" s="20"/>
      <c r="D45" s="20"/>
      <c r="E45" s="20"/>
      <c r="F45" s="20"/>
      <c r="G45" s="429">
        <f t="shared" si="3"/>
        <v>7273324.6157411952</v>
      </c>
      <c r="H45" s="429">
        <f t="shared" si="4"/>
        <v>8773363.667217616</v>
      </c>
      <c r="I45" s="429">
        <f t="shared" si="5"/>
        <v>10542346.221204981</v>
      </c>
      <c r="P45" s="14"/>
    </row>
    <row r="46" spans="1:16">
      <c r="A46" s="428">
        <v>46568</v>
      </c>
      <c r="B46" s="20"/>
      <c r="C46" s="20"/>
      <c r="D46" s="20"/>
      <c r="E46" s="20"/>
      <c r="F46" s="20"/>
      <c r="G46" s="429">
        <f t="shared" si="3"/>
        <v>6909658.3849541359</v>
      </c>
      <c r="H46" s="429">
        <f t="shared" si="4"/>
        <v>8510162.7572010867</v>
      </c>
      <c r="I46" s="429">
        <f t="shared" si="5"/>
        <v>10436922.758992931</v>
      </c>
      <c r="P46" s="14"/>
    </row>
    <row r="47" spans="1:16">
      <c r="A47" s="428">
        <v>46660</v>
      </c>
      <c r="B47" s="20"/>
      <c r="C47" s="20"/>
      <c r="D47" s="20"/>
      <c r="E47" s="20"/>
      <c r="F47" s="20"/>
      <c r="G47" s="429">
        <f t="shared" si="3"/>
        <v>6564175.4657064294</v>
      </c>
      <c r="H47" s="429">
        <f t="shared" si="4"/>
        <v>8254857.8744850541</v>
      </c>
      <c r="I47" s="429">
        <f t="shared" si="5"/>
        <v>10332553.531403001</v>
      </c>
      <c r="P47" s="14"/>
    </row>
    <row r="48" spans="1:16">
      <c r="A48" s="428">
        <v>46752</v>
      </c>
      <c r="B48" s="20"/>
      <c r="C48" s="20"/>
      <c r="D48" s="20"/>
      <c r="E48" s="20"/>
      <c r="F48" s="20"/>
      <c r="G48" s="429">
        <f t="shared" si="3"/>
        <v>6235966.6924211076</v>
      </c>
      <c r="H48" s="429">
        <f t="shared" si="4"/>
        <v>8007212.1382505028</v>
      </c>
      <c r="I48" s="429">
        <f t="shared" si="5"/>
        <v>10229227.99608897</v>
      </c>
      <c r="P48" s="14"/>
    </row>
    <row r="49" spans="1:16">
      <c r="A49" s="428">
        <v>46843</v>
      </c>
      <c r="B49" s="20"/>
      <c r="C49" s="20"/>
      <c r="D49" s="20"/>
      <c r="E49" s="20"/>
      <c r="F49" s="20"/>
      <c r="G49" s="429">
        <f t="shared" si="3"/>
        <v>5924168.3578000525</v>
      </c>
      <c r="H49" s="429">
        <f t="shared" si="4"/>
        <v>7766995.7741029877</v>
      </c>
      <c r="I49" s="429">
        <f t="shared" si="5"/>
        <v>10126935.716128081</v>
      </c>
      <c r="P49" s="14"/>
    </row>
    <row r="50" spans="1:16">
      <c r="A50" s="428">
        <v>46934</v>
      </c>
      <c r="B50" s="20"/>
      <c r="C50" s="20"/>
      <c r="D50" s="20"/>
      <c r="E50" s="20"/>
      <c r="F50" s="20"/>
      <c r="G50" s="429">
        <f t="shared" si="3"/>
        <v>5627959.9399100496</v>
      </c>
      <c r="H50" s="429">
        <f t="shared" si="4"/>
        <v>7533985.9008798981</v>
      </c>
      <c r="I50" s="429">
        <f t="shared" si="5"/>
        <v>10025666.358966799</v>
      </c>
      <c r="P50" s="14"/>
    </row>
    <row r="51" spans="1:16">
      <c r="A51" s="428">
        <v>47026</v>
      </c>
      <c r="B51" s="20"/>
      <c r="C51" s="20"/>
      <c r="D51" s="20"/>
      <c r="E51" s="20"/>
      <c r="F51" s="20"/>
      <c r="G51" s="429">
        <f t="shared" si="3"/>
        <v>5346561.9429145474</v>
      </c>
      <c r="H51" s="429">
        <f t="shared" si="4"/>
        <v>7307966.3238535011</v>
      </c>
      <c r="I51" s="429">
        <f t="shared" si="5"/>
        <v>9925409.6953771319</v>
      </c>
      <c r="P51" s="14"/>
    </row>
    <row r="52" spans="1:16">
      <c r="A52" s="428">
        <v>47118</v>
      </c>
      <c r="B52" s="20"/>
      <c r="C52" s="20"/>
      <c r="D52" s="20"/>
      <c r="E52" s="20"/>
      <c r="F52" s="20"/>
      <c r="G52" s="429">
        <f t="shared" si="3"/>
        <v>5079233.8457688205</v>
      </c>
      <c r="H52" s="429">
        <f t="shared" si="4"/>
        <v>7088727.3341378961</v>
      </c>
      <c r="I52" s="429">
        <f t="shared" si="5"/>
        <v>9826155.5984233599</v>
      </c>
      <c r="P52" s="14"/>
    </row>
    <row r="53" spans="1:16">
      <c r="A53" s="428">
        <v>47208</v>
      </c>
      <c r="B53" s="20"/>
      <c r="C53" s="20"/>
      <c r="D53" s="20"/>
      <c r="E53" s="20"/>
      <c r="F53" s="20"/>
      <c r="G53" s="429">
        <f t="shared" si="3"/>
        <v>4825272.1534803798</v>
      </c>
      <c r="H53" s="429">
        <f t="shared" si="4"/>
        <v>6876065.5141137596</v>
      </c>
      <c r="I53" s="429">
        <f t="shared" si="5"/>
        <v>9727894.0424391255</v>
      </c>
      <c r="P53" s="14"/>
    </row>
    <row r="54" spans="1:16">
      <c r="A54" s="428">
        <v>47299</v>
      </c>
      <c r="B54" s="20"/>
      <c r="C54" s="20"/>
      <c r="D54" s="20"/>
      <c r="E54" s="20"/>
      <c r="F54" s="20"/>
      <c r="G54" s="429">
        <f t="shared" si="3"/>
        <v>4584008.5458063604</v>
      </c>
      <c r="H54" s="429">
        <f t="shared" si="4"/>
        <v>6669783.548690347</v>
      </c>
      <c r="I54" s="429">
        <f t="shared" si="5"/>
        <v>9630615.1020147335</v>
      </c>
      <c r="P54" s="14"/>
    </row>
    <row r="55" spans="1:16">
      <c r="A55" s="428">
        <v>47391</v>
      </c>
      <c r="B55" s="20"/>
      <c r="C55" s="20"/>
      <c r="D55" s="20"/>
      <c r="E55" s="20"/>
      <c r="F55" s="20"/>
      <c r="G55" s="429">
        <f t="shared" si="3"/>
        <v>4354808.1185160428</v>
      </c>
      <c r="H55" s="429">
        <f t="shared" si="4"/>
        <v>6469690.0422296366</v>
      </c>
      <c r="I55" s="429">
        <f t="shared" si="5"/>
        <v>9534308.9509945866</v>
      </c>
      <c r="P55" s="14"/>
    </row>
    <row r="56" spans="1:16">
      <c r="A56" s="428">
        <v>47483</v>
      </c>
      <c r="B56" s="20"/>
      <c r="C56" s="20"/>
      <c r="D56" s="20"/>
      <c r="E56" s="20"/>
      <c r="F56" s="20"/>
      <c r="G56" s="429">
        <f t="shared" si="3"/>
        <v>4137067.7125902409</v>
      </c>
      <c r="H56" s="429">
        <f t="shared" si="4"/>
        <v>6275599.3409627471</v>
      </c>
      <c r="I56" s="429">
        <f t="shared" si="5"/>
        <v>9438965.8614846412</v>
      </c>
      <c r="P56" s="14"/>
    </row>
    <row r="57" spans="1:16">
      <c r="A57" s="428">
        <v>47573</v>
      </c>
      <c r="B57" s="20"/>
      <c r="C57" s="20"/>
      <c r="D57" s="20"/>
      <c r="E57" s="20"/>
      <c r="F57" s="20"/>
      <c r="G57" s="429">
        <f t="shared" si="3"/>
        <v>3930214.326960729</v>
      </c>
      <c r="H57" s="429">
        <f t="shared" si="4"/>
        <v>6087331.3607338648</v>
      </c>
      <c r="I57" s="429">
        <f t="shared" si="5"/>
        <v>9344576.2028697953</v>
      </c>
      <c r="P57" s="14"/>
    </row>
    <row r="58" spans="1:16">
      <c r="A58" s="428">
        <v>47664</v>
      </c>
      <c r="B58" s="20"/>
      <c r="C58" s="20"/>
      <c r="D58" s="20"/>
      <c r="E58" s="20"/>
      <c r="F58" s="20"/>
      <c r="G58" s="429">
        <f t="shared" si="3"/>
        <v>3733703.6106126923</v>
      </c>
      <c r="H58" s="429">
        <f t="shared" si="4"/>
        <v>5904711.4199118493</v>
      </c>
      <c r="I58" s="429">
        <f t="shared" si="5"/>
        <v>9251130.4408410974</v>
      </c>
      <c r="P58" s="14"/>
    </row>
    <row r="59" spans="1:16">
      <c r="A59" s="428">
        <v>47756</v>
      </c>
      <c r="B59" s="20"/>
      <c r="C59" s="20"/>
      <c r="D59" s="20"/>
      <c r="E59" s="20"/>
      <c r="F59" s="20"/>
      <c r="G59" s="429">
        <f t="shared" si="3"/>
        <v>3547018.4300820576</v>
      </c>
      <c r="H59" s="429">
        <f t="shared" si="4"/>
        <v>5727570.0773144942</v>
      </c>
      <c r="I59" s="429">
        <f t="shared" si="5"/>
        <v>9158619.1364326868</v>
      </c>
      <c r="P59" s="14"/>
    </row>
    <row r="60" spans="1:16">
      <c r="A60" s="428">
        <v>47848</v>
      </c>
      <c r="B60" s="20"/>
      <c r="C60" s="20"/>
      <c r="D60" s="20"/>
      <c r="E60" s="20"/>
      <c r="F60" s="20"/>
      <c r="G60" s="556">
        <f t="shared" si="3"/>
        <v>3369667.508577955</v>
      </c>
      <c r="H60" s="556">
        <f t="shared" si="4"/>
        <v>5555742.974995059</v>
      </c>
      <c r="I60" s="556">
        <f t="shared" si="5"/>
        <v>9067032.9450683594</v>
      </c>
      <c r="P60" s="14"/>
    </row>
    <row r="61" spans="1:16">
      <c r="A61" s="427">
        <v>47938</v>
      </c>
      <c r="B61" s="317"/>
      <c r="C61" s="317"/>
      <c r="D61" s="317"/>
      <c r="E61" s="317"/>
      <c r="F61" s="317"/>
      <c r="G61" s="430">
        <f t="shared" ref="G61:G80" si="6">G60-(G60*$G$6)</f>
        <v>3285425.8208635063</v>
      </c>
      <c r="H61" s="430">
        <f t="shared" ref="H61:H80" si="7">H60-(H60*$H$6)</f>
        <v>5472406.8303701328</v>
      </c>
      <c r="I61" s="430">
        <f t="shared" ref="I61:I80" si="8">I60-(I60*$I$6)</f>
        <v>9021697.7803430185</v>
      </c>
      <c r="P61" s="14"/>
    </row>
    <row r="62" spans="1:16">
      <c r="A62" s="427">
        <v>48029</v>
      </c>
      <c r="B62" s="317"/>
      <c r="C62" s="317"/>
      <c r="D62" s="317"/>
      <c r="E62" s="317"/>
      <c r="F62" s="317"/>
      <c r="G62" s="430">
        <f t="shared" si="6"/>
        <v>3203290.1753419186</v>
      </c>
      <c r="H62" s="430">
        <f t="shared" si="7"/>
        <v>5390320.7279145811</v>
      </c>
      <c r="I62" s="430">
        <f t="shared" si="8"/>
        <v>8976589.2914413027</v>
      </c>
      <c r="P62" s="14"/>
    </row>
    <row r="63" spans="1:16">
      <c r="A63" s="427">
        <v>48121</v>
      </c>
      <c r="B63" s="317"/>
      <c r="C63" s="317"/>
      <c r="D63" s="317"/>
      <c r="E63" s="317"/>
      <c r="F63" s="317"/>
      <c r="G63" s="430">
        <f t="shared" si="6"/>
        <v>3123207.9209583704</v>
      </c>
      <c r="H63" s="430">
        <f t="shared" si="7"/>
        <v>5309465.9169958625</v>
      </c>
      <c r="I63" s="430">
        <f t="shared" si="8"/>
        <v>8931706.3449840955</v>
      </c>
      <c r="P63" s="14"/>
    </row>
    <row r="64" spans="1:16">
      <c r="A64" s="427">
        <v>48213</v>
      </c>
      <c r="B64" s="317"/>
      <c r="C64" s="317"/>
      <c r="D64" s="317"/>
      <c r="E64" s="317"/>
      <c r="F64" s="317"/>
      <c r="G64" s="430">
        <f t="shared" si="6"/>
        <v>3045127.7229344114</v>
      </c>
      <c r="H64" s="430">
        <f t="shared" si="7"/>
        <v>5229823.9282409241</v>
      </c>
      <c r="I64" s="430">
        <f t="shared" si="8"/>
        <v>8887047.813259175</v>
      </c>
      <c r="P64" s="14"/>
    </row>
    <row r="65" spans="1:16">
      <c r="A65" s="427">
        <v>48304</v>
      </c>
      <c r="B65" s="317"/>
      <c r="C65" s="317"/>
      <c r="D65" s="317"/>
      <c r="E65" s="317"/>
      <c r="F65" s="317"/>
      <c r="G65" s="430">
        <f t="shared" si="6"/>
        <v>2968999.5298610511</v>
      </c>
      <c r="H65" s="430">
        <f t="shared" si="7"/>
        <v>5151376.5693173101</v>
      </c>
      <c r="I65" s="430">
        <f t="shared" si="8"/>
        <v>8842612.5741928797</v>
      </c>
      <c r="P65" s="14"/>
    </row>
    <row r="66" spans="1:16">
      <c r="A66" s="427">
        <v>48395</v>
      </c>
      <c r="B66" s="317"/>
      <c r="C66" s="317"/>
      <c r="D66" s="317"/>
      <c r="E66" s="317"/>
      <c r="F66" s="317"/>
      <c r="G66" s="430">
        <f t="shared" si="6"/>
        <v>2894774.541614525</v>
      </c>
      <c r="H66" s="430">
        <f t="shared" si="7"/>
        <v>5074105.9207775509</v>
      </c>
      <c r="I66" s="430">
        <f t="shared" si="8"/>
        <v>8798399.5113219153</v>
      </c>
      <c r="P66" s="14"/>
    </row>
    <row r="67" spans="1:16">
      <c r="A67" s="427">
        <v>48487</v>
      </c>
      <c r="B67" s="317"/>
      <c r="C67" s="317"/>
      <c r="D67" s="317"/>
      <c r="E67" s="317"/>
      <c r="F67" s="317"/>
      <c r="G67" s="430">
        <f t="shared" si="6"/>
        <v>2822405.178074162</v>
      </c>
      <c r="H67" s="430">
        <f t="shared" si="7"/>
        <v>4997994.3319658879</v>
      </c>
      <c r="I67" s="430">
        <f t="shared" si="8"/>
        <v>8754407.5137653053</v>
      </c>
      <c r="P67" s="14"/>
    </row>
    <row r="68" spans="1:16">
      <c r="A68" s="427">
        <v>48579</v>
      </c>
      <c r="B68" s="317"/>
      <c r="C68" s="317"/>
      <c r="D68" s="317"/>
      <c r="E68" s="317"/>
      <c r="F68" s="317"/>
      <c r="G68" s="430">
        <f t="shared" si="6"/>
        <v>2751845.0486223078</v>
      </c>
      <c r="H68" s="430">
        <f t="shared" si="7"/>
        <v>4923024.4169863993</v>
      </c>
      <c r="I68" s="430">
        <f t="shared" si="8"/>
        <v>8710635.4761964791</v>
      </c>
      <c r="K68" s="14"/>
      <c r="L68" s="14"/>
      <c r="M68" s="14"/>
      <c r="N68" s="14"/>
      <c r="O68" s="5"/>
      <c r="P68" s="14"/>
    </row>
    <row r="69" spans="1:16">
      <c r="A69" s="427">
        <v>48669</v>
      </c>
      <c r="B69" s="317"/>
      <c r="C69" s="317"/>
      <c r="D69" s="317"/>
      <c r="E69" s="317"/>
      <c r="F69" s="317"/>
      <c r="G69" s="430">
        <f t="shared" si="6"/>
        <v>2683048.9224067503</v>
      </c>
      <c r="H69" s="430">
        <f t="shared" si="7"/>
        <v>4849179.0507316031</v>
      </c>
      <c r="I69" s="430">
        <f t="shared" si="8"/>
        <v>8667082.2988154963</v>
      </c>
      <c r="K69" s="14"/>
      <c r="L69" s="14"/>
      <c r="M69" s="14"/>
      <c r="N69" s="14"/>
      <c r="O69" s="5"/>
      <c r="P69" s="14"/>
    </row>
    <row r="70" spans="1:16">
      <c r="A70" s="427">
        <v>48760</v>
      </c>
      <c r="B70" s="317"/>
      <c r="C70" s="317"/>
      <c r="D70" s="317"/>
      <c r="E70" s="317"/>
      <c r="F70" s="317"/>
      <c r="G70" s="430">
        <f t="shared" si="6"/>
        <v>2615972.6993465815</v>
      </c>
      <c r="H70" s="430">
        <f t="shared" si="7"/>
        <v>4776441.3649706291</v>
      </c>
      <c r="I70" s="430">
        <f t="shared" si="8"/>
        <v>8623746.8873214182</v>
      </c>
      <c r="K70" s="14"/>
      <c r="L70" s="14"/>
      <c r="M70" s="14"/>
      <c r="N70" s="14"/>
      <c r="O70" s="5"/>
      <c r="P70" s="14"/>
    </row>
    <row r="71" spans="1:16">
      <c r="A71" s="427">
        <v>48852</v>
      </c>
      <c r="B71" s="317"/>
      <c r="C71" s="317"/>
      <c r="D71" s="317"/>
      <c r="E71" s="317"/>
      <c r="F71" s="317"/>
      <c r="G71" s="430">
        <f t="shared" si="6"/>
        <v>2550573.381862917</v>
      </c>
      <c r="H71" s="430">
        <f t="shared" si="7"/>
        <v>4704794.7444960698</v>
      </c>
      <c r="I71" s="430">
        <f t="shared" si="8"/>
        <v>8580628.1528848112</v>
      </c>
      <c r="K71" s="14"/>
      <c r="L71" s="14"/>
      <c r="M71" s="14"/>
      <c r="N71" s="14"/>
      <c r="O71" s="5"/>
      <c r="P71" s="14"/>
    </row>
    <row r="72" spans="1:16">
      <c r="A72" s="427">
        <v>48944</v>
      </c>
      <c r="B72" s="317"/>
      <c r="C72" s="317"/>
      <c r="D72" s="317"/>
      <c r="E72" s="317"/>
      <c r="F72" s="317"/>
      <c r="G72" s="430">
        <f t="shared" si="6"/>
        <v>2486809.047316344</v>
      </c>
      <c r="H72" s="430">
        <f t="shared" si="7"/>
        <v>4634222.8233286291</v>
      </c>
      <c r="I72" s="430">
        <f t="shared" si="8"/>
        <v>8537725.0121203866</v>
      </c>
      <c r="K72" s="14"/>
      <c r="L72" s="14"/>
      <c r="M72" s="14"/>
      <c r="N72" s="14"/>
      <c r="O72" s="5"/>
      <c r="P72" s="14"/>
    </row>
    <row r="73" spans="1:16">
      <c r="A73" s="427">
        <v>49034</v>
      </c>
      <c r="B73" s="317"/>
      <c r="C73" s="317"/>
      <c r="D73" s="317"/>
      <c r="E73" s="317"/>
      <c r="F73" s="317"/>
      <c r="G73" s="430">
        <f t="shared" si="6"/>
        <v>2424638.8211334352</v>
      </c>
      <c r="H73" s="430">
        <f t="shared" si="7"/>
        <v>4564709.4809786994</v>
      </c>
      <c r="I73" s="430">
        <f t="shared" si="8"/>
        <v>8495036.3870597854</v>
      </c>
      <c r="K73" s="14"/>
      <c r="L73" s="14"/>
      <c r="M73" s="14"/>
      <c r="N73" s="14"/>
      <c r="O73" s="5"/>
      <c r="P73" s="14"/>
    </row>
    <row r="74" spans="1:16">
      <c r="A74" s="427">
        <v>49125</v>
      </c>
      <c r="B74" s="317"/>
      <c r="C74" s="317"/>
      <c r="D74" s="317"/>
      <c r="E74" s="317"/>
      <c r="F74" s="317"/>
      <c r="G74" s="430">
        <f t="shared" si="6"/>
        <v>2364022.8506050995</v>
      </c>
      <c r="H74" s="430">
        <f t="shared" si="7"/>
        <v>4496238.8387640193</v>
      </c>
      <c r="I74" s="430">
        <f t="shared" si="8"/>
        <v>8452561.2051244862</v>
      </c>
      <c r="K74" s="14"/>
      <c r="L74" s="14"/>
      <c r="M74" s="14"/>
      <c r="N74" s="14"/>
      <c r="O74" s="5"/>
      <c r="P74" s="14"/>
    </row>
    <row r="75" spans="1:16">
      <c r="A75" s="427">
        <v>49217</v>
      </c>
      <c r="B75" s="317"/>
      <c r="C75" s="317"/>
      <c r="D75" s="317"/>
      <c r="E75" s="317"/>
      <c r="F75" s="317"/>
      <c r="G75" s="430">
        <f t="shared" si="6"/>
        <v>2304922.279339972</v>
      </c>
      <c r="H75" s="430">
        <f t="shared" si="7"/>
        <v>4428795.2561825588</v>
      </c>
      <c r="I75" s="430">
        <f t="shared" si="8"/>
        <v>8410298.3990988638</v>
      </c>
      <c r="K75" s="14"/>
      <c r="L75" s="14"/>
      <c r="M75" s="14"/>
      <c r="N75" s="14"/>
      <c r="O75" s="5"/>
      <c r="P75" s="14"/>
    </row>
    <row r="76" spans="1:16">
      <c r="A76" s="427">
        <v>49309</v>
      </c>
      <c r="B76" s="317"/>
      <c r="C76" s="317"/>
      <c r="D76" s="317"/>
      <c r="E76" s="317"/>
      <c r="F76" s="317"/>
      <c r="G76" s="430">
        <f t="shared" si="6"/>
        <v>2247299.2223564726</v>
      </c>
      <c r="H76" s="430">
        <f t="shared" si="7"/>
        <v>4362363.3273398206</v>
      </c>
      <c r="I76" s="430">
        <f t="shared" si="8"/>
        <v>8368246.9071033699</v>
      </c>
      <c r="K76" s="14"/>
      <c r="L76" s="14"/>
      <c r="M76" s="14"/>
      <c r="N76" s="14"/>
      <c r="O76" s="5"/>
      <c r="P76" s="14"/>
    </row>
    <row r="77" spans="1:16">
      <c r="A77" s="427">
        <v>49399</v>
      </c>
      <c r="B77" s="317"/>
      <c r="C77" s="317"/>
      <c r="D77" s="317"/>
      <c r="E77" s="317"/>
      <c r="F77" s="317"/>
      <c r="G77" s="430">
        <f t="shared" si="6"/>
        <v>2191116.7417975608</v>
      </c>
      <c r="H77" s="430">
        <f t="shared" si="7"/>
        <v>4296927.8774297228</v>
      </c>
      <c r="I77" s="430">
        <f t="shared" si="8"/>
        <v>8326405.6725678528</v>
      </c>
      <c r="K77" s="14"/>
      <c r="L77" s="14"/>
      <c r="M77" s="14"/>
      <c r="N77" s="14"/>
      <c r="O77" s="5"/>
      <c r="P77" s="14"/>
    </row>
    <row r="78" spans="1:16">
      <c r="A78" s="427">
        <v>49490</v>
      </c>
      <c r="B78" s="317"/>
      <c r="C78" s="317"/>
      <c r="D78" s="317"/>
      <c r="E78" s="317"/>
      <c r="F78" s="317"/>
      <c r="G78" s="430">
        <f t="shared" si="6"/>
        <v>2136338.823252622</v>
      </c>
      <c r="H78" s="430">
        <f t="shared" si="7"/>
        <v>4232473.9592682766</v>
      </c>
      <c r="I78" s="430">
        <f t="shared" si="8"/>
        <v>8284773.6442050133</v>
      </c>
      <c r="K78" s="14"/>
      <c r="L78" s="14"/>
      <c r="M78" s="14"/>
      <c r="N78" s="14"/>
      <c r="O78" s="5"/>
      <c r="P78" s="14"/>
    </row>
    <row r="79" spans="1:16">
      <c r="A79" s="427">
        <v>49582</v>
      </c>
      <c r="B79" s="317"/>
      <c r="C79" s="317"/>
      <c r="D79" s="317"/>
      <c r="E79" s="317"/>
      <c r="F79" s="317"/>
      <c r="G79" s="430">
        <f t="shared" si="6"/>
        <v>2082930.3526713066</v>
      </c>
      <c r="H79" s="430">
        <f t="shared" si="7"/>
        <v>4168986.8498792523</v>
      </c>
      <c r="I79" s="430">
        <f t="shared" si="8"/>
        <v>8243349.7759839883</v>
      </c>
      <c r="K79" s="14"/>
      <c r="L79" s="14"/>
      <c r="M79" s="14"/>
      <c r="N79" s="14"/>
      <c r="O79" s="5"/>
      <c r="P79" s="14"/>
    </row>
    <row r="80" spans="1:16">
      <c r="A80" s="427">
        <v>49674</v>
      </c>
      <c r="B80" s="317"/>
      <c r="C80" s="317"/>
      <c r="D80" s="317"/>
      <c r="E80" s="317"/>
      <c r="F80" s="317"/>
      <c r="G80" s="430">
        <f t="shared" si="6"/>
        <v>2030857.093854524</v>
      </c>
      <c r="H80" s="430">
        <f t="shared" si="7"/>
        <v>4106452.0471310634</v>
      </c>
      <c r="I80" s="430">
        <f t="shared" si="8"/>
        <v>8202133.0271040685</v>
      </c>
      <c r="K80" s="14"/>
      <c r="L80" s="14"/>
      <c r="M80" s="14"/>
      <c r="N80" s="14"/>
      <c r="O80" s="5"/>
      <c r="P80" s="14"/>
    </row>
    <row r="82" spans="1:137">
      <c r="A82" s="31" t="s">
        <v>579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</row>
    <row r="83" spans="1:137">
      <c r="B83" s="426">
        <v>2017</v>
      </c>
      <c r="C83" s="426">
        <v>2018</v>
      </c>
      <c r="D83" s="426">
        <v>2019</v>
      </c>
      <c r="E83" s="426">
        <v>2020</v>
      </c>
      <c r="F83" s="426">
        <v>2021</v>
      </c>
      <c r="G83" s="426">
        <v>2022</v>
      </c>
      <c r="H83" s="426">
        <v>2023</v>
      </c>
      <c r="I83" s="426">
        <v>2024</v>
      </c>
      <c r="J83" s="42">
        <v>2025</v>
      </c>
      <c r="K83" s="42">
        <v>2026</v>
      </c>
      <c r="L83" s="42">
        <v>2027</v>
      </c>
      <c r="M83" s="42">
        <v>2028</v>
      </c>
      <c r="N83" s="42">
        <v>2029</v>
      </c>
      <c r="O83" s="42">
        <v>2030</v>
      </c>
      <c r="P83" s="42">
        <v>2031</v>
      </c>
      <c r="Q83" s="42">
        <v>2032</v>
      </c>
      <c r="R83" s="42">
        <v>2033</v>
      </c>
      <c r="S83" s="42">
        <v>2034</v>
      </c>
      <c r="T83" s="42">
        <v>2035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137" s="588" customFormat="1">
      <c r="A84" t="s">
        <v>66</v>
      </c>
      <c r="B84" s="438">
        <f t="shared" ref="B84:I84" ca="1" si="9">OFFSET($B$93,0,(COLUMN(A84)*4)-1)</f>
        <v>29.580874999999999</v>
      </c>
      <c r="C84" s="438">
        <f t="shared" ca="1" si="9"/>
        <v>23.905961000000005</v>
      </c>
      <c r="D84" s="438">
        <f t="shared" ca="1" si="9"/>
        <v>20.058937</v>
      </c>
      <c r="E84" s="438">
        <f t="shared" ca="1" si="9"/>
        <v>16.528337000000001</v>
      </c>
      <c r="F84" s="438">
        <f t="shared" ca="1" si="9"/>
        <v>16.669232999999998</v>
      </c>
      <c r="G84" s="438">
        <f t="shared" ca="1" si="9"/>
        <v>14.764186</v>
      </c>
      <c r="H84" s="438">
        <f t="shared" ca="1" si="9"/>
        <v>13.32</v>
      </c>
      <c r="I84" s="438">
        <f t="shared" ca="1" si="9"/>
        <v>11.540391</v>
      </c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38"/>
      <c r="AK84" s="438"/>
      <c r="AL84" s="438"/>
      <c r="AM84" s="438"/>
      <c r="AN84" s="438"/>
      <c r="AO84" s="438"/>
      <c r="AP84" s="438"/>
      <c r="AQ84" s="438"/>
      <c r="AR84" s="438"/>
      <c r="AS84" s="438"/>
      <c r="AT84" s="438"/>
      <c r="AU84" s="438"/>
      <c r="AV84" s="438"/>
      <c r="AW84" s="438"/>
      <c r="AX84" s="438"/>
      <c r="AY84" s="438"/>
      <c r="AZ84" s="438"/>
      <c r="BA84" s="438"/>
      <c r="BB84" s="438"/>
      <c r="BC84" s="438"/>
      <c r="BD84" s="438"/>
      <c r="BE84" s="438"/>
      <c r="BF84" s="438"/>
      <c r="BG84" s="438"/>
      <c r="BH84" s="438"/>
      <c r="BI84" s="438"/>
      <c r="BJ84" s="438"/>
      <c r="BK84" s="438"/>
      <c r="BL84" s="438"/>
      <c r="BM84" s="438"/>
      <c r="BN84" s="438"/>
      <c r="BO84" s="438"/>
      <c r="BP84" s="438"/>
      <c r="BQ84" s="438"/>
      <c r="BR84" s="438"/>
      <c r="BS84" s="438"/>
      <c r="BT84" s="438"/>
      <c r="BU84" s="438"/>
      <c r="BV84" s="438"/>
      <c r="BW84" s="438"/>
      <c r="BX84" s="438"/>
      <c r="BY84" s="438"/>
    </row>
    <row r="85" spans="1:137" s="588" customFormat="1">
      <c r="A85" t="s">
        <v>231</v>
      </c>
      <c r="B85" s="438"/>
      <c r="C85" s="438"/>
      <c r="D85" s="438"/>
      <c r="E85" s="438"/>
      <c r="F85" s="438"/>
      <c r="G85" s="438"/>
      <c r="H85" s="438"/>
      <c r="I85" s="438">
        <f ca="1">I84</f>
        <v>11.540391</v>
      </c>
      <c r="J85" s="438">
        <f t="shared" ref="J85:T85" ca="1" si="10">OFFSET($AH$94,0,(COLUMN(A85)*4)-1)</f>
        <v>9.3997205969437516</v>
      </c>
      <c r="K85" s="438">
        <f t="shared" ca="1" si="10"/>
        <v>7.6561311744644156</v>
      </c>
      <c r="L85" s="438">
        <f t="shared" ca="1" si="10"/>
        <v>6.2359666924211075</v>
      </c>
      <c r="M85" s="438">
        <f t="shared" ca="1" si="10"/>
        <v>5.0792338457688206</v>
      </c>
      <c r="N85" s="438">
        <f t="shared" ca="1" si="10"/>
        <v>4.1370677125902411</v>
      </c>
      <c r="O85" s="471">
        <f t="shared" ca="1" si="10"/>
        <v>3.3696675085779551</v>
      </c>
      <c r="P85" s="438">
        <f t="shared" ca="1" si="10"/>
        <v>3.0451277229344114</v>
      </c>
      <c r="Q85" s="438">
        <f t="shared" ca="1" si="10"/>
        <v>2.7518450486223078</v>
      </c>
      <c r="R85" s="438">
        <f t="shared" ca="1" si="10"/>
        <v>2.4868090473163438</v>
      </c>
      <c r="S85" s="438">
        <f t="shared" ca="1" si="10"/>
        <v>2.2472992223564727</v>
      </c>
      <c r="T85" s="472">
        <f t="shared" ca="1" si="10"/>
        <v>2.0308570938545238</v>
      </c>
      <c r="U85" s="438"/>
      <c r="V85" s="438"/>
      <c r="W85" s="438"/>
      <c r="AA85" s="438"/>
      <c r="AB85" s="438"/>
      <c r="AC85" s="438"/>
      <c r="AD85" s="438"/>
      <c r="AE85" s="438"/>
      <c r="AF85" s="438"/>
      <c r="AG85" s="438"/>
      <c r="AH85" s="438"/>
      <c r="AI85" s="438"/>
      <c r="AJ85" s="438"/>
      <c r="AK85" s="438"/>
      <c r="AL85" s="438"/>
      <c r="AM85" s="438"/>
      <c r="AN85" s="438"/>
      <c r="AO85" s="438"/>
      <c r="AP85" s="438"/>
      <c r="AQ85" s="438"/>
      <c r="AR85" s="438"/>
      <c r="AS85" s="438"/>
      <c r="AT85" s="438"/>
      <c r="AU85" s="438"/>
      <c r="AV85" s="438"/>
      <c r="AW85" s="438"/>
      <c r="AX85" s="438"/>
      <c r="AY85" s="438"/>
      <c r="AZ85" s="438"/>
      <c r="BA85" s="438"/>
      <c r="BB85" s="438"/>
      <c r="BC85" s="438"/>
      <c r="BD85" s="438"/>
      <c r="BE85" s="438"/>
      <c r="BF85" s="438"/>
      <c r="BG85" s="438"/>
      <c r="BH85" s="438"/>
      <c r="BI85" s="438"/>
      <c r="BJ85" s="438"/>
      <c r="BK85" s="438"/>
      <c r="BL85" s="438"/>
      <c r="BM85" s="438"/>
      <c r="BN85" s="438"/>
      <c r="BO85" s="438"/>
      <c r="BP85" s="438"/>
      <c r="BQ85" s="438"/>
      <c r="BR85" s="438"/>
      <c r="BS85" s="438"/>
      <c r="BT85" s="438"/>
      <c r="BU85" s="438"/>
      <c r="BV85" s="438"/>
      <c r="BW85" s="438"/>
      <c r="BX85" s="438"/>
      <c r="BY85" s="438"/>
    </row>
    <row r="86" spans="1:137" s="588" customFormat="1">
      <c r="A86" t="s">
        <v>230</v>
      </c>
      <c r="B86" s="438"/>
      <c r="C86" s="438"/>
      <c r="D86" s="438"/>
      <c r="E86" s="438"/>
      <c r="F86" s="438"/>
      <c r="G86" s="438"/>
      <c r="H86" s="438"/>
      <c r="I86" s="438">
        <f ca="1">I85</f>
        <v>11.540391</v>
      </c>
      <c r="J86" s="438">
        <f t="shared" ref="J86:T86" ca="1" si="11">OFFSET($AH$95,0,(COLUMN(A86)*4)-1)</f>
        <v>10.21662517688871</v>
      </c>
      <c r="K86" s="438">
        <f t="shared" ca="1" si="11"/>
        <v>9.0447048115645536</v>
      </c>
      <c r="L86" s="438">
        <f t="shared" ca="1" si="11"/>
        <v>8.0072121382505035</v>
      </c>
      <c r="M86" s="438">
        <f t="shared" ca="1" si="11"/>
        <v>7.0887273341378965</v>
      </c>
      <c r="N86" s="438">
        <f t="shared" ca="1" si="11"/>
        <v>6.2755993409627475</v>
      </c>
      <c r="O86" s="471">
        <f t="shared" ca="1" si="11"/>
        <v>5.5557429749950593</v>
      </c>
      <c r="P86" s="438">
        <f t="shared" ca="1" si="11"/>
        <v>5.2298239282409238</v>
      </c>
      <c r="Q86" s="438">
        <f t="shared" ca="1" si="11"/>
        <v>4.923024416986399</v>
      </c>
      <c r="R86" s="438">
        <f t="shared" ca="1" si="11"/>
        <v>4.6342228233286296</v>
      </c>
      <c r="S86" s="438">
        <f t="shared" ca="1" si="11"/>
        <v>4.3623633273398204</v>
      </c>
      <c r="T86" s="472">
        <f t="shared" ca="1" si="11"/>
        <v>4.1064520471310635</v>
      </c>
      <c r="U86" s="438"/>
      <c r="V86" s="438"/>
      <c r="W86" s="438"/>
      <c r="AA86" s="438"/>
      <c r="AB86" s="438"/>
      <c r="AC86" s="438"/>
      <c r="AD86" s="438"/>
      <c r="AE86" s="438"/>
      <c r="AF86" s="438"/>
      <c r="AG86" s="438"/>
      <c r="AH86" s="438"/>
      <c r="AI86" s="438"/>
      <c r="AJ86" s="438"/>
      <c r="AK86" s="438"/>
      <c r="AL86" s="438"/>
      <c r="AM86" s="438"/>
      <c r="AN86" s="438"/>
      <c r="AO86" s="438"/>
      <c r="AP86" s="438"/>
      <c r="AQ86" s="438"/>
      <c r="AR86" s="438"/>
      <c r="AS86" s="438"/>
      <c r="AT86" s="438"/>
      <c r="AU86" s="438"/>
      <c r="AV86" s="438"/>
      <c r="AW86" s="438"/>
      <c r="AX86" s="438"/>
      <c r="AY86" s="438"/>
      <c r="AZ86" s="438"/>
      <c r="BA86" s="438"/>
      <c r="BB86" s="438"/>
      <c r="BC86" s="438"/>
      <c r="BD86" s="438"/>
      <c r="BE86" s="438"/>
      <c r="BF86" s="438"/>
      <c r="BG86" s="438"/>
      <c r="BH86" s="438"/>
      <c r="BI86" s="438"/>
      <c r="BJ86" s="438"/>
      <c r="BK86" s="438"/>
      <c r="BL86" s="438"/>
      <c r="BM86" s="438"/>
      <c r="BN86" s="438"/>
      <c r="BO86" s="438"/>
      <c r="BP86" s="438"/>
      <c r="BQ86" s="438"/>
      <c r="BR86" s="438"/>
      <c r="BS86" s="438"/>
      <c r="BT86" s="438"/>
      <c r="BU86" s="438"/>
      <c r="BV86" s="438"/>
      <c r="BW86" s="438"/>
      <c r="BX86" s="438"/>
      <c r="BY86" s="438"/>
    </row>
    <row r="87" spans="1:137" s="588" customFormat="1">
      <c r="A87" t="s">
        <v>229</v>
      </c>
      <c r="B87" s="438"/>
      <c r="C87" s="438"/>
      <c r="D87" s="438"/>
      <c r="E87" s="438"/>
      <c r="F87" s="438"/>
      <c r="G87" s="438"/>
      <c r="H87" s="438"/>
      <c r="I87" s="438">
        <f ca="1">I86</f>
        <v>11.540391</v>
      </c>
      <c r="J87" s="438">
        <f t="shared" ref="J87:T87" ca="1" si="12">OFFSET($AH$96,0,(COLUMN(A87)*4)-1)</f>
        <v>11.085653548439909</v>
      </c>
      <c r="K87" s="438">
        <f t="shared" ca="1" si="12"/>
        <v>10.648834566873719</v>
      </c>
      <c r="L87" s="438">
        <f t="shared" ca="1" si="12"/>
        <v>10.229227996088971</v>
      </c>
      <c r="M87" s="438">
        <f t="shared" ca="1" si="12"/>
        <v>9.8261555984233606</v>
      </c>
      <c r="N87" s="438">
        <f t="shared" ca="1" si="12"/>
        <v>9.4389658614846415</v>
      </c>
      <c r="O87" s="471">
        <f t="shared" ca="1" si="12"/>
        <v>9.0670329450683589</v>
      </c>
      <c r="P87" s="438">
        <f t="shared" ca="1" si="12"/>
        <v>8.8870478132591746</v>
      </c>
      <c r="Q87" s="438">
        <f t="shared" ca="1" si="12"/>
        <v>8.7106354761964795</v>
      </c>
      <c r="R87" s="438">
        <f t="shared" ca="1" si="12"/>
        <v>8.5377250121203865</v>
      </c>
      <c r="S87" s="438">
        <f t="shared" ca="1" si="12"/>
        <v>8.3682469071033694</v>
      </c>
      <c r="T87" s="472">
        <f t="shared" ca="1" si="12"/>
        <v>8.2021330271040682</v>
      </c>
      <c r="U87" s="438"/>
      <c r="V87" s="438"/>
      <c r="W87" s="438"/>
      <c r="AA87" s="438"/>
      <c r="AB87" s="438"/>
      <c r="AC87" s="438"/>
      <c r="AD87" s="438"/>
      <c r="AE87" s="438"/>
      <c r="AF87" s="438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438"/>
      <c r="AR87" s="438"/>
      <c r="AS87" s="438"/>
      <c r="AT87" s="438"/>
      <c r="AU87" s="438"/>
      <c r="AV87" s="438"/>
      <c r="AW87" s="438"/>
      <c r="AX87" s="438"/>
      <c r="AY87" s="438"/>
      <c r="AZ87" s="438"/>
      <c r="BA87" s="438"/>
      <c r="BB87" s="438"/>
      <c r="BC87" s="438"/>
      <c r="BD87" s="438"/>
      <c r="BE87" s="438"/>
      <c r="BF87" s="438"/>
      <c r="BG87" s="438"/>
      <c r="BH87" s="438"/>
      <c r="BI87" s="438"/>
      <c r="BJ87" s="438"/>
      <c r="BK87" s="438"/>
      <c r="BL87" s="438"/>
      <c r="BM87" s="438"/>
      <c r="BN87" s="438"/>
      <c r="BO87" s="438"/>
      <c r="BP87" s="438"/>
      <c r="BQ87" s="438"/>
      <c r="BR87" s="438"/>
      <c r="BS87" s="438"/>
      <c r="BT87" s="438"/>
      <c r="BU87" s="438"/>
      <c r="BV87" s="438"/>
      <c r="BW87" s="438"/>
      <c r="BX87" s="438"/>
      <c r="BY87" s="438"/>
    </row>
    <row r="91" spans="1:137">
      <c r="A91" s="26" t="s">
        <v>580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</row>
    <row r="92" spans="1:137">
      <c r="A92" s="26"/>
      <c r="B92" s="469" cm="1">
        <f t="array" ref="B92:BY92">TRANSPOSE(A5:A80)</f>
        <v>42825</v>
      </c>
      <c r="C92" s="469">
        <v>42916</v>
      </c>
      <c r="D92" s="469">
        <v>43008</v>
      </c>
      <c r="E92" s="469">
        <v>43100</v>
      </c>
      <c r="F92" s="469">
        <v>43190</v>
      </c>
      <c r="G92" s="469">
        <v>43281</v>
      </c>
      <c r="H92" s="469">
        <v>43373</v>
      </c>
      <c r="I92" s="469">
        <v>43465</v>
      </c>
      <c r="J92" s="469">
        <v>43555</v>
      </c>
      <c r="K92" s="469">
        <v>43646</v>
      </c>
      <c r="L92" s="469">
        <v>43738</v>
      </c>
      <c r="M92" s="469">
        <v>43830</v>
      </c>
      <c r="N92" s="469">
        <v>43921</v>
      </c>
      <c r="O92" s="469">
        <v>44012</v>
      </c>
      <c r="P92" s="469">
        <v>44104</v>
      </c>
      <c r="Q92" s="469">
        <v>44196</v>
      </c>
      <c r="R92" s="469">
        <v>44286</v>
      </c>
      <c r="S92" s="469">
        <v>44377</v>
      </c>
      <c r="T92" s="469">
        <v>44469</v>
      </c>
      <c r="U92" s="469">
        <v>44561</v>
      </c>
      <c r="V92" s="469">
        <v>44651</v>
      </c>
      <c r="W92" s="469">
        <v>44742</v>
      </c>
      <c r="X92" s="469">
        <v>44834</v>
      </c>
      <c r="Y92" s="469">
        <v>44926</v>
      </c>
      <c r="Z92" s="469">
        <v>45016</v>
      </c>
      <c r="AA92" s="469">
        <v>45107</v>
      </c>
      <c r="AB92" s="469">
        <v>45199</v>
      </c>
      <c r="AC92" s="469">
        <v>45291</v>
      </c>
      <c r="AD92" s="469">
        <v>45382</v>
      </c>
      <c r="AE92" s="469">
        <v>45473</v>
      </c>
      <c r="AF92" s="469">
        <v>45565</v>
      </c>
      <c r="AG92" s="469">
        <v>45657</v>
      </c>
      <c r="AH92" s="469">
        <v>45747</v>
      </c>
      <c r="AI92" s="469">
        <v>45838</v>
      </c>
      <c r="AJ92" s="469">
        <v>45930</v>
      </c>
      <c r="AK92" s="469">
        <v>46022</v>
      </c>
      <c r="AL92" s="469">
        <v>46112</v>
      </c>
      <c r="AM92" s="469">
        <v>46203</v>
      </c>
      <c r="AN92" s="469">
        <v>46295</v>
      </c>
      <c r="AO92" s="469">
        <v>46387</v>
      </c>
      <c r="AP92" s="469">
        <v>46477</v>
      </c>
      <c r="AQ92" s="469">
        <v>46568</v>
      </c>
      <c r="AR92" s="469">
        <v>46660</v>
      </c>
      <c r="AS92" s="469">
        <v>46752</v>
      </c>
      <c r="AT92" s="469">
        <v>46843</v>
      </c>
      <c r="AU92" s="469">
        <v>46934</v>
      </c>
      <c r="AV92" s="469">
        <v>47026</v>
      </c>
      <c r="AW92" s="469">
        <v>47118</v>
      </c>
      <c r="AX92" s="469">
        <v>47208</v>
      </c>
      <c r="AY92" s="469">
        <v>47299</v>
      </c>
      <c r="AZ92" s="469">
        <v>47391</v>
      </c>
      <c r="BA92" s="469">
        <v>47483</v>
      </c>
      <c r="BB92" s="469">
        <v>47573</v>
      </c>
      <c r="BC92" s="469">
        <v>47664</v>
      </c>
      <c r="BD92" s="469">
        <v>47756</v>
      </c>
      <c r="BE92" s="469">
        <v>47848</v>
      </c>
      <c r="BF92" s="469">
        <v>47938</v>
      </c>
      <c r="BG92" s="469">
        <v>48029</v>
      </c>
      <c r="BH92" s="469">
        <v>48121</v>
      </c>
      <c r="BI92" s="469">
        <v>48213</v>
      </c>
      <c r="BJ92" s="469">
        <v>48304</v>
      </c>
      <c r="BK92" s="469">
        <v>48395</v>
      </c>
      <c r="BL92" s="469">
        <v>48487</v>
      </c>
      <c r="BM92" s="469">
        <v>48579</v>
      </c>
      <c r="BN92" s="469">
        <v>48669</v>
      </c>
      <c r="BO92" s="469">
        <v>48760</v>
      </c>
      <c r="BP92" s="469">
        <v>48852</v>
      </c>
      <c r="BQ92" s="469">
        <v>48944</v>
      </c>
      <c r="BR92" s="469">
        <v>49034</v>
      </c>
      <c r="BS92" s="469">
        <v>49125</v>
      </c>
      <c r="BT92" s="469">
        <v>49217</v>
      </c>
      <c r="BU92" s="469">
        <v>49309</v>
      </c>
      <c r="BV92" s="469">
        <v>49399</v>
      </c>
      <c r="BW92" s="469">
        <v>49490</v>
      </c>
      <c r="BX92" s="469">
        <v>49582</v>
      </c>
      <c r="BY92" s="469">
        <v>49674</v>
      </c>
      <c r="BZ92" s="589"/>
      <c r="CA92" s="589"/>
      <c r="CB92" s="589"/>
      <c r="CC92" s="589"/>
      <c r="CD92" s="589"/>
      <c r="CE92" s="589"/>
      <c r="CF92" s="589"/>
      <c r="CG92" s="589"/>
      <c r="CH92" s="589"/>
      <c r="CI92" s="589"/>
      <c r="CJ92" s="589"/>
      <c r="CK92" s="589"/>
      <c r="CL92" s="589"/>
      <c r="CM92" s="589"/>
      <c r="CN92" s="589"/>
      <c r="CO92" s="589"/>
      <c r="CP92" s="589"/>
      <c r="CQ92" s="589"/>
      <c r="CR92" s="589"/>
      <c r="CS92" s="589"/>
      <c r="CT92" s="589"/>
      <c r="CU92" s="589"/>
      <c r="CV92" s="589"/>
      <c r="CW92" s="589"/>
      <c r="CX92" s="589"/>
      <c r="CY92" s="589"/>
      <c r="CZ92" s="589"/>
      <c r="DA92" s="589"/>
      <c r="DB92" s="589"/>
      <c r="DC92" s="589"/>
      <c r="DD92" s="589"/>
      <c r="DE92" s="589"/>
      <c r="DF92" s="589"/>
      <c r="DG92" s="589"/>
      <c r="DH92" s="589"/>
      <c r="DI92" s="589"/>
      <c r="DJ92" s="589"/>
      <c r="DK92" s="589"/>
      <c r="DL92" s="589"/>
      <c r="DM92" s="589"/>
      <c r="DN92" s="589"/>
      <c r="DO92" s="589"/>
      <c r="DP92" s="589"/>
      <c r="DQ92" s="589"/>
      <c r="DR92" s="589"/>
      <c r="DS92" s="589"/>
      <c r="DT92" s="589"/>
      <c r="DU92" s="589"/>
      <c r="DV92" s="589"/>
      <c r="DW92" s="589"/>
      <c r="DX92" s="589"/>
      <c r="DY92" s="589"/>
      <c r="DZ92" s="589"/>
      <c r="EA92" s="589"/>
      <c r="EB92" s="589"/>
      <c r="EC92" s="589"/>
      <c r="ED92" s="589"/>
      <c r="EE92" s="589"/>
      <c r="EF92" s="589"/>
      <c r="EG92" s="589"/>
    </row>
    <row r="93" spans="1:137" s="88" customFormat="1">
      <c r="A93" t="s">
        <v>581</v>
      </c>
      <c r="B93" s="438" cm="1">
        <f t="array" ref="B93:AG93">TRANSPOSE(B5:B36)/1000000</f>
        <v>32.645150000000001</v>
      </c>
      <c r="C93" s="438">
        <v>31.515322999999999</v>
      </c>
      <c r="D93" s="438">
        <v>30.514524999999995</v>
      </c>
      <c r="E93" s="438">
        <v>29.580874999999999</v>
      </c>
      <c r="F93" s="473">
        <v>28.416357999999999</v>
      </c>
      <c r="G93" s="473">
        <v>25.560414000000002</v>
      </c>
      <c r="H93" s="473">
        <v>24.632771999999999</v>
      </c>
      <c r="I93" s="438">
        <v>23.905961000000005</v>
      </c>
      <c r="J93" s="438">
        <v>22.437390000000001</v>
      </c>
      <c r="K93" s="438">
        <v>21.087375000000002</v>
      </c>
      <c r="L93" s="438">
        <v>19.876494999999998</v>
      </c>
      <c r="M93" s="438">
        <v>20.058937</v>
      </c>
      <c r="N93" s="438">
        <v>19.049208</v>
      </c>
      <c r="O93" s="438">
        <v>17.091308999999995</v>
      </c>
      <c r="P93" s="438">
        <v>16.861643000000001</v>
      </c>
      <c r="Q93" s="438">
        <v>16.528337000000001</v>
      </c>
      <c r="R93" s="438">
        <v>16.396218999999999</v>
      </c>
      <c r="S93" s="438">
        <v>16.806373000000001</v>
      </c>
      <c r="T93" s="438">
        <v>16.821126</v>
      </c>
      <c r="U93" s="438">
        <v>16.669232999999998</v>
      </c>
      <c r="V93" s="438">
        <v>16.397404999999999</v>
      </c>
      <c r="W93" s="438">
        <v>16.162192000000001</v>
      </c>
      <c r="X93" s="438">
        <v>14.897997</v>
      </c>
      <c r="Y93" s="438">
        <v>14.764186</v>
      </c>
      <c r="Z93" s="438">
        <v>14.771926000000001</v>
      </c>
      <c r="AA93" s="438">
        <v>14.358048999999999</v>
      </c>
      <c r="AB93" s="438">
        <v>14.199057</v>
      </c>
      <c r="AC93" s="438">
        <v>13.32</v>
      </c>
      <c r="AD93" s="438">
        <v>12.7</v>
      </c>
      <c r="AE93" s="438">
        <v>12.49</v>
      </c>
      <c r="AF93" s="438">
        <v>12.007861</v>
      </c>
      <c r="AG93" s="438">
        <v>11.540391</v>
      </c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  <c r="BF93" s="438"/>
      <c r="BG93" s="438"/>
      <c r="BH93" s="438"/>
      <c r="BI93" s="438"/>
      <c r="BJ93" s="438"/>
      <c r="BK93" s="438"/>
      <c r="BL93" s="438"/>
      <c r="BM93" s="438"/>
      <c r="BN93" s="438"/>
      <c r="BO93" s="438"/>
      <c r="BP93" s="438"/>
      <c r="BQ93" s="438"/>
      <c r="BR93" s="438"/>
      <c r="BS93" s="438"/>
      <c r="BT93" s="438"/>
      <c r="BU93" s="438"/>
      <c r="BV93" s="438"/>
      <c r="BW93" s="438"/>
      <c r="BX93" s="438"/>
      <c r="BY93" s="438"/>
      <c r="BZ93" s="588"/>
      <c r="CA93" s="588"/>
      <c r="CB93" s="588"/>
      <c r="CC93" s="588"/>
      <c r="CD93" s="588"/>
      <c r="CE93" s="588"/>
      <c r="CF93" s="588"/>
      <c r="CG93" s="588"/>
      <c r="CH93" s="588"/>
      <c r="CI93" s="588"/>
      <c r="CJ93" s="588"/>
      <c r="CK93" s="588"/>
      <c r="CL93" s="588"/>
      <c r="CM93" s="588"/>
      <c r="CN93" s="588"/>
      <c r="CO93" s="588"/>
      <c r="CP93" s="588"/>
      <c r="CQ93" s="588"/>
      <c r="CR93" s="588"/>
      <c r="CS93" s="588"/>
      <c r="CT93" s="588"/>
      <c r="CU93" s="588"/>
      <c r="CV93" s="588"/>
      <c r="CW93" s="588"/>
      <c r="CX93" s="588"/>
      <c r="CY93" s="588"/>
      <c r="CZ93" s="588"/>
      <c r="DA93" s="588"/>
      <c r="DB93" s="588"/>
      <c r="DC93" s="588"/>
      <c r="DD93" s="588"/>
      <c r="DE93" s="588"/>
      <c r="DF93" s="588"/>
      <c r="DG93" s="588"/>
      <c r="DH93" s="588"/>
      <c r="DI93" s="588"/>
      <c r="DJ93" s="588"/>
      <c r="DK93" s="588"/>
      <c r="DL93" s="588"/>
      <c r="DM93" s="588"/>
      <c r="DN93" s="588"/>
      <c r="DO93" s="588"/>
      <c r="DP93" s="588"/>
      <c r="DQ93" s="588"/>
      <c r="DR93" s="588"/>
      <c r="DS93" s="588"/>
      <c r="DT93" s="588"/>
      <c r="DU93" s="588"/>
      <c r="DV93" s="588"/>
      <c r="DW93" s="588"/>
      <c r="DX93" s="588"/>
      <c r="DY93" s="588"/>
      <c r="DZ93" s="588"/>
      <c r="EA93" s="588"/>
      <c r="EB93" s="588"/>
      <c r="EC93" s="588"/>
      <c r="ED93" s="588"/>
      <c r="EE93" s="588"/>
      <c r="EF93" s="588"/>
      <c r="EG93" s="588"/>
    </row>
    <row r="94" spans="1:137" s="88" customFormat="1">
      <c r="A94" t="s">
        <v>582</v>
      </c>
      <c r="B94" s="438"/>
      <c r="C94" s="438"/>
      <c r="D94" s="438"/>
      <c r="E94" s="438"/>
      <c r="F94" s="473"/>
      <c r="G94" s="473"/>
      <c r="H94" s="473"/>
      <c r="I94" s="438"/>
      <c r="J94" s="438"/>
      <c r="K94" s="438"/>
      <c r="L94" s="438"/>
      <c r="M94" s="438"/>
      <c r="N94" s="438"/>
      <c r="O94" s="438"/>
      <c r="P94" s="438"/>
      <c r="Q94" s="438"/>
      <c r="R94" s="438"/>
      <c r="S94" s="438"/>
      <c r="T94" s="438"/>
      <c r="U94" s="438"/>
      <c r="V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>
        <f>AG93</f>
        <v>11.540391</v>
      </c>
      <c r="AH94" s="438" cm="1">
        <f t="array" ref="AH94:BY96">TRANSPOSE(G37:I80)/1000000</f>
        <v>10.963371449999999</v>
      </c>
      <c r="AI94" s="438">
        <v>10.415202877499999</v>
      </c>
      <c r="AJ94" s="438">
        <v>9.8944427336250005</v>
      </c>
      <c r="AK94" s="438">
        <v>9.3997205969437516</v>
      </c>
      <c r="AL94" s="438">
        <v>8.9297345670965633</v>
      </c>
      <c r="AM94" s="438">
        <v>8.4832478387417343</v>
      </c>
      <c r="AN94" s="438">
        <v>8.059085446804648</v>
      </c>
      <c r="AO94" s="438">
        <v>7.6561311744644156</v>
      </c>
      <c r="AP94" s="438">
        <v>7.2733246157411955</v>
      </c>
      <c r="AQ94" s="438">
        <v>6.9096583849541355</v>
      </c>
      <c r="AR94" s="438">
        <v>6.5641754657064295</v>
      </c>
      <c r="AS94" s="438">
        <v>6.2359666924211075</v>
      </c>
      <c r="AT94" s="438">
        <v>5.9241683578000526</v>
      </c>
      <c r="AU94" s="438">
        <v>5.6279599399100499</v>
      </c>
      <c r="AV94" s="438">
        <v>5.3465619429145477</v>
      </c>
      <c r="AW94" s="438">
        <v>5.0792338457688206</v>
      </c>
      <c r="AX94" s="438">
        <v>4.8252721534803795</v>
      </c>
      <c r="AY94" s="438">
        <v>4.5840085458063609</v>
      </c>
      <c r="AZ94" s="438">
        <v>4.3548081185160425</v>
      </c>
      <c r="BA94" s="438">
        <v>4.1370677125902411</v>
      </c>
      <c r="BB94" s="438">
        <v>3.930214326960729</v>
      </c>
      <c r="BC94" s="438">
        <v>3.7337036106126922</v>
      </c>
      <c r="BD94" s="438">
        <v>3.5470184300820575</v>
      </c>
      <c r="BE94" s="438">
        <v>3.3696675085779551</v>
      </c>
      <c r="BF94" s="438">
        <v>3.2854258208635061</v>
      </c>
      <c r="BG94" s="438">
        <v>3.2032901753419187</v>
      </c>
      <c r="BH94" s="438">
        <v>3.1232079209583703</v>
      </c>
      <c r="BI94" s="438">
        <v>3.0451277229344114</v>
      </c>
      <c r="BJ94" s="438">
        <v>2.9689995298610512</v>
      </c>
      <c r="BK94" s="438">
        <v>2.8947745416145252</v>
      </c>
      <c r="BL94" s="438">
        <v>2.8224051780741619</v>
      </c>
      <c r="BM94" s="438">
        <v>2.7518450486223078</v>
      </c>
      <c r="BN94" s="438">
        <v>2.6830489224067504</v>
      </c>
      <c r="BO94" s="438">
        <v>2.6159726993465813</v>
      </c>
      <c r="BP94" s="438">
        <v>2.5505733818629168</v>
      </c>
      <c r="BQ94" s="438">
        <v>2.4868090473163438</v>
      </c>
      <c r="BR94" s="438">
        <v>2.4246388211334353</v>
      </c>
      <c r="BS94" s="438">
        <v>2.3640228506050995</v>
      </c>
      <c r="BT94" s="438">
        <v>2.304922279339972</v>
      </c>
      <c r="BU94" s="438">
        <v>2.2472992223564727</v>
      </c>
      <c r="BV94" s="438">
        <v>2.1911167417975608</v>
      </c>
      <c r="BW94" s="438">
        <v>2.1363388232526219</v>
      </c>
      <c r="BX94" s="438">
        <v>2.0829303526713066</v>
      </c>
      <c r="BY94" s="438">
        <v>2.0308570938545238</v>
      </c>
      <c r="BZ94" s="588"/>
      <c r="CA94" s="588"/>
      <c r="CB94" s="588"/>
      <c r="CC94" s="588"/>
      <c r="CD94" s="588"/>
      <c r="CE94" s="588"/>
      <c r="CF94" s="588"/>
      <c r="CG94" s="588"/>
      <c r="CH94" s="588"/>
      <c r="CI94" s="588"/>
      <c r="CJ94" s="588"/>
      <c r="CK94" s="588"/>
      <c r="CL94" s="588"/>
      <c r="CM94" s="588"/>
      <c r="CN94" s="588"/>
      <c r="CO94" s="588"/>
      <c r="CP94" s="588"/>
      <c r="CQ94" s="588"/>
      <c r="CR94" s="588"/>
      <c r="CS94" s="588"/>
      <c r="CT94" s="588"/>
      <c r="CU94" s="588"/>
      <c r="CV94" s="588"/>
      <c r="CW94" s="588"/>
      <c r="CX94" s="588"/>
      <c r="CY94" s="588"/>
      <c r="CZ94" s="588"/>
      <c r="DA94" s="588"/>
      <c r="DB94" s="588"/>
      <c r="DC94" s="588"/>
      <c r="DD94" s="588"/>
      <c r="DE94" s="588"/>
      <c r="DF94" s="588"/>
      <c r="DG94" s="588"/>
      <c r="DH94" s="588"/>
      <c r="DI94" s="588"/>
      <c r="DJ94" s="588"/>
      <c r="DK94" s="588"/>
      <c r="DL94" s="588"/>
      <c r="DM94" s="588"/>
      <c r="DN94" s="588"/>
      <c r="DO94" s="588"/>
      <c r="DP94" s="588"/>
      <c r="DQ94" s="588"/>
      <c r="DR94" s="588"/>
      <c r="DS94" s="588"/>
      <c r="DT94" s="588"/>
      <c r="DU94" s="588"/>
      <c r="DV94" s="588"/>
      <c r="DW94" s="588"/>
      <c r="DX94" s="588"/>
      <c r="DY94" s="588"/>
      <c r="DZ94" s="588"/>
      <c r="EA94" s="588"/>
      <c r="EB94" s="588"/>
      <c r="EC94" s="588"/>
      <c r="ED94" s="588"/>
      <c r="EE94" s="588"/>
      <c r="EF94" s="588"/>
      <c r="EG94" s="588"/>
    </row>
    <row r="95" spans="1:137" s="88" customFormat="1">
      <c r="A95" t="s">
        <v>583</v>
      </c>
      <c r="B95" s="438"/>
      <c r="C95" s="438"/>
      <c r="D95" s="438"/>
      <c r="E95" s="438"/>
      <c r="F95" s="473"/>
      <c r="G95" s="473"/>
      <c r="H95" s="473"/>
      <c r="I95" s="438"/>
      <c r="J95" s="438"/>
      <c r="K95" s="438"/>
      <c r="L95" s="438"/>
      <c r="M95" s="438"/>
      <c r="N95" s="438"/>
      <c r="O95" s="438"/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>
        <f t="shared" ref="AG95:AG96" si="13">AG94</f>
        <v>11.540391</v>
      </c>
      <c r="AH95" s="438">
        <v>11.194179269999999</v>
      </c>
      <c r="AI95" s="438">
        <v>10.858353891899998</v>
      </c>
      <c r="AJ95" s="438">
        <v>10.532603275143</v>
      </c>
      <c r="AK95" s="438">
        <v>10.21662517688871</v>
      </c>
      <c r="AL95" s="438">
        <v>9.9101264215820493</v>
      </c>
      <c r="AM95" s="438">
        <v>9.6128226289345857</v>
      </c>
      <c r="AN95" s="438">
        <v>9.3244379500665495</v>
      </c>
      <c r="AO95" s="438">
        <v>9.0447048115645536</v>
      </c>
      <c r="AP95" s="438">
        <v>8.7733636672176161</v>
      </c>
      <c r="AQ95" s="438">
        <v>8.5101627572010869</v>
      </c>
      <c r="AR95" s="438">
        <v>8.2548578744850545</v>
      </c>
      <c r="AS95" s="438">
        <v>8.0072121382505035</v>
      </c>
      <c r="AT95" s="438">
        <v>7.7669957741029876</v>
      </c>
      <c r="AU95" s="438">
        <v>7.5339859008798982</v>
      </c>
      <c r="AV95" s="438">
        <v>7.3079663238535009</v>
      </c>
      <c r="AW95" s="438">
        <v>7.0887273341378965</v>
      </c>
      <c r="AX95" s="438">
        <v>6.8760655141137592</v>
      </c>
      <c r="AY95" s="438">
        <v>6.6697835486903472</v>
      </c>
      <c r="AZ95" s="438">
        <v>6.4696900422296366</v>
      </c>
      <c r="BA95" s="438">
        <v>6.2755993409627475</v>
      </c>
      <c r="BB95" s="438">
        <v>6.0873313607338648</v>
      </c>
      <c r="BC95" s="438">
        <v>5.9047114199118491</v>
      </c>
      <c r="BD95" s="438">
        <v>5.7275700773144944</v>
      </c>
      <c r="BE95" s="438">
        <v>5.5557429749950593</v>
      </c>
      <c r="BF95" s="438">
        <v>5.472406830370133</v>
      </c>
      <c r="BG95" s="438">
        <v>5.3903207279145811</v>
      </c>
      <c r="BH95" s="438">
        <v>5.3094659169958627</v>
      </c>
      <c r="BI95" s="438">
        <v>5.2298239282409238</v>
      </c>
      <c r="BJ95" s="438">
        <v>5.1513765693173097</v>
      </c>
      <c r="BK95" s="438">
        <v>5.0741059207775505</v>
      </c>
      <c r="BL95" s="438">
        <v>4.9979943319658879</v>
      </c>
      <c r="BM95" s="438">
        <v>4.923024416986399</v>
      </c>
      <c r="BN95" s="438">
        <v>4.8491790507316033</v>
      </c>
      <c r="BO95" s="438">
        <v>4.776441364970629</v>
      </c>
      <c r="BP95" s="438">
        <v>4.7047947444960698</v>
      </c>
      <c r="BQ95" s="438">
        <v>4.6342228233286296</v>
      </c>
      <c r="BR95" s="438">
        <v>4.5647094809786992</v>
      </c>
      <c r="BS95" s="438">
        <v>4.4962388387640191</v>
      </c>
      <c r="BT95" s="438">
        <v>4.4287952561825588</v>
      </c>
      <c r="BU95" s="438">
        <v>4.3623633273398204</v>
      </c>
      <c r="BV95" s="438">
        <v>4.2969278774297228</v>
      </c>
      <c r="BW95" s="438">
        <v>4.232473959268277</v>
      </c>
      <c r="BX95" s="438">
        <v>4.1689868498792526</v>
      </c>
      <c r="BY95" s="438">
        <v>4.1064520471310635</v>
      </c>
      <c r="BZ95" s="588"/>
      <c r="CA95" s="588"/>
      <c r="CB95" s="588"/>
      <c r="CC95" s="588"/>
      <c r="CD95" s="588"/>
      <c r="CE95" s="588"/>
      <c r="CF95" s="588"/>
      <c r="CG95" s="588"/>
      <c r="CH95" s="588"/>
      <c r="CI95" s="588"/>
      <c r="CJ95" s="588"/>
      <c r="CK95" s="588"/>
      <c r="CL95" s="588"/>
      <c r="CM95" s="588"/>
      <c r="CN95" s="588"/>
      <c r="CO95" s="588"/>
      <c r="CP95" s="588"/>
      <c r="CQ95" s="588"/>
      <c r="CR95" s="588"/>
      <c r="CS95" s="588"/>
      <c r="CT95" s="588"/>
      <c r="CU95" s="588"/>
      <c r="CV95" s="588"/>
      <c r="CW95" s="588"/>
      <c r="CX95" s="588"/>
      <c r="CY95" s="588"/>
      <c r="CZ95" s="588"/>
      <c r="DA95" s="588"/>
      <c r="DB95" s="588"/>
      <c r="DC95" s="588"/>
      <c r="DD95" s="588"/>
      <c r="DE95" s="588"/>
      <c r="DF95" s="588"/>
      <c r="DG95" s="588"/>
      <c r="DH95" s="588"/>
      <c r="DI95" s="588"/>
      <c r="DJ95" s="588"/>
      <c r="DK95" s="588"/>
      <c r="DL95" s="588"/>
      <c r="DM95" s="588"/>
      <c r="DN95" s="588"/>
      <c r="DO95" s="588"/>
      <c r="DP95" s="588"/>
      <c r="DQ95" s="588"/>
      <c r="DR95" s="588"/>
      <c r="DS95" s="588"/>
      <c r="DT95" s="588"/>
      <c r="DU95" s="588"/>
      <c r="DV95" s="588"/>
      <c r="DW95" s="588"/>
      <c r="DX95" s="588"/>
      <c r="DY95" s="588"/>
      <c r="DZ95" s="588"/>
      <c r="EA95" s="588"/>
      <c r="EB95" s="588"/>
      <c r="EC95" s="588"/>
      <c r="ED95" s="588"/>
      <c r="EE95" s="588"/>
      <c r="EF95" s="588"/>
      <c r="EG95" s="588"/>
    </row>
    <row r="96" spans="1:137" s="88" customFormat="1">
      <c r="A96" t="s">
        <v>584</v>
      </c>
      <c r="B96" s="438"/>
      <c r="C96" s="438"/>
      <c r="D96" s="438"/>
      <c r="E96" s="438"/>
      <c r="F96" s="473"/>
      <c r="G96" s="473"/>
      <c r="H96" s="473"/>
      <c r="I96" s="438"/>
      <c r="J96" s="438"/>
      <c r="K96" s="438"/>
      <c r="L96" s="438"/>
      <c r="M96" s="438"/>
      <c r="N96" s="438"/>
      <c r="O96" s="438"/>
      <c r="P96" s="438"/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>
        <f t="shared" si="13"/>
        <v>11.540391</v>
      </c>
      <c r="AH96" s="438">
        <v>11.42498709</v>
      </c>
      <c r="AI96" s="438">
        <v>11.3107372191</v>
      </c>
      <c r="AJ96" s="438">
        <v>11.197629846908999</v>
      </c>
      <c r="AK96" s="438">
        <v>11.085653548439909</v>
      </c>
      <c r="AL96" s="438">
        <v>10.974797012955509</v>
      </c>
      <c r="AM96" s="438">
        <v>10.865049042825953</v>
      </c>
      <c r="AN96" s="438">
        <v>10.756398552397695</v>
      </c>
      <c r="AO96" s="438">
        <v>10.648834566873719</v>
      </c>
      <c r="AP96" s="438">
        <v>10.542346221204982</v>
      </c>
      <c r="AQ96" s="438">
        <v>10.436922758992932</v>
      </c>
      <c r="AR96" s="438">
        <v>10.332553531403001</v>
      </c>
      <c r="AS96" s="438">
        <v>10.229227996088971</v>
      </c>
      <c r="AT96" s="438">
        <v>10.126935716128081</v>
      </c>
      <c r="AU96" s="438">
        <v>10.025666358966799</v>
      </c>
      <c r="AV96" s="438">
        <v>9.925409695377132</v>
      </c>
      <c r="AW96" s="438">
        <v>9.8261555984233606</v>
      </c>
      <c r="AX96" s="438">
        <v>9.7278940424391251</v>
      </c>
      <c r="AY96" s="438">
        <v>9.6306151020147333</v>
      </c>
      <c r="AZ96" s="438">
        <v>9.5343089509945873</v>
      </c>
      <c r="BA96" s="438">
        <v>9.4389658614846415</v>
      </c>
      <c r="BB96" s="438">
        <v>9.3445762028697956</v>
      </c>
      <c r="BC96" s="438">
        <v>9.2511304408410968</v>
      </c>
      <c r="BD96" s="438">
        <v>9.1586191364326872</v>
      </c>
      <c r="BE96" s="438">
        <v>9.0670329450683589</v>
      </c>
      <c r="BF96" s="438">
        <v>9.0216977803430183</v>
      </c>
      <c r="BG96" s="438">
        <v>8.9765892914413019</v>
      </c>
      <c r="BH96" s="438">
        <v>8.9317063449840948</v>
      </c>
      <c r="BI96" s="438">
        <v>8.8870478132591746</v>
      </c>
      <c r="BJ96" s="438">
        <v>8.8426125741928789</v>
      </c>
      <c r="BK96" s="438">
        <v>8.7983995113219144</v>
      </c>
      <c r="BL96" s="438">
        <v>8.7544075137653046</v>
      </c>
      <c r="BM96" s="438">
        <v>8.7106354761964795</v>
      </c>
      <c r="BN96" s="438">
        <v>8.6670822988154956</v>
      </c>
      <c r="BO96" s="438">
        <v>8.6237468873214187</v>
      </c>
      <c r="BP96" s="438">
        <v>8.5806281528848114</v>
      </c>
      <c r="BQ96" s="438">
        <v>8.5377250121203865</v>
      </c>
      <c r="BR96" s="438">
        <v>8.4950363870597858</v>
      </c>
      <c r="BS96" s="438">
        <v>8.4525612051244856</v>
      </c>
      <c r="BT96" s="438">
        <v>8.4102983990988633</v>
      </c>
      <c r="BU96" s="438">
        <v>8.3682469071033694</v>
      </c>
      <c r="BV96" s="438">
        <v>8.3264056725678532</v>
      </c>
      <c r="BW96" s="438">
        <v>8.2847736442050142</v>
      </c>
      <c r="BX96" s="438">
        <v>8.2433497759839884</v>
      </c>
      <c r="BY96" s="438">
        <v>8.2021330271040682</v>
      </c>
      <c r="BZ96" s="588"/>
      <c r="CA96" s="588"/>
      <c r="CB96" s="588"/>
      <c r="CC96" s="588"/>
      <c r="CD96" s="588"/>
      <c r="CE96" s="588"/>
      <c r="CF96" s="588"/>
      <c r="CG96" s="588"/>
      <c r="CH96" s="588"/>
      <c r="CI96" s="588"/>
      <c r="CJ96" s="588"/>
      <c r="CK96" s="588"/>
      <c r="CL96" s="588"/>
      <c r="CM96" s="588"/>
      <c r="CN96" s="588"/>
      <c r="CO96" s="588"/>
      <c r="CP96" s="588"/>
      <c r="CQ96" s="588"/>
      <c r="CR96" s="588"/>
      <c r="CS96" s="588"/>
      <c r="CT96" s="588"/>
      <c r="CU96" s="588"/>
      <c r="CV96" s="588"/>
      <c r="CW96" s="588"/>
      <c r="CX96" s="588"/>
      <c r="CY96" s="588"/>
      <c r="CZ96" s="588"/>
      <c r="DA96" s="588"/>
      <c r="DB96" s="588"/>
      <c r="DC96" s="588"/>
      <c r="DD96" s="588"/>
      <c r="DE96" s="588"/>
      <c r="DF96" s="588"/>
      <c r="DG96" s="588"/>
      <c r="DH96" s="588"/>
      <c r="DI96" s="588"/>
      <c r="DJ96" s="588"/>
      <c r="DK96" s="588"/>
      <c r="DL96" s="588"/>
      <c r="DM96" s="588"/>
      <c r="DN96" s="588"/>
      <c r="DO96" s="588"/>
      <c r="DP96" s="588"/>
      <c r="DQ96" s="588"/>
      <c r="DR96" s="588"/>
      <c r="DS96" s="588"/>
      <c r="DT96" s="588"/>
      <c r="DU96" s="588"/>
      <c r="DV96" s="588"/>
      <c r="DW96" s="588"/>
      <c r="DX96" s="588"/>
      <c r="DY96" s="588"/>
      <c r="DZ96" s="588"/>
      <c r="EA96" s="588"/>
      <c r="EB96" s="588"/>
      <c r="EC96" s="588"/>
      <c r="ED96" s="588"/>
      <c r="EE96" s="588"/>
      <c r="EF96" s="588"/>
      <c r="EG96" s="588"/>
    </row>
  </sheetData>
  <pageMargins left="0.7" right="0.7" top="0.75" bottom="0.75" header="0.3" footer="0.3"/>
  <pageSetup paperSize="9" orientation="portrait" r:id="rId1"/>
  <headerFooter>
    <oddHeader>&amp;C&amp;"Calibri"&amp;9&amp;K000000 [IN-CONFIDENCE]&amp;1#_x000D_</oddHeader>
    <oddFooter>&amp;C_x000D_&amp;1#&amp;"Calibri"&amp;9&amp;K000000 [IN-CONFIDENCE]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3195-4621-42F7-8E6B-C2B9F22FE847}">
  <dimension ref="A1:O58"/>
  <sheetViews>
    <sheetView zoomScale="70" zoomScaleNormal="70" workbookViewId="0">
      <selection activeCell="K22" sqref="K22"/>
    </sheetView>
  </sheetViews>
  <sheetFormatPr defaultColWidth="9.140625" defaultRowHeight="15"/>
  <cols>
    <col min="1" max="1" width="38.42578125" customWidth="1"/>
    <col min="2" max="2" width="37.140625" customWidth="1"/>
    <col min="3" max="3" width="12.42578125" customWidth="1"/>
    <col min="4" max="4" width="13.7109375" customWidth="1"/>
    <col min="5" max="5" width="15.85546875" bestFit="1" customWidth="1"/>
    <col min="6" max="6" width="18.7109375" bestFit="1" customWidth="1"/>
    <col min="8" max="8" width="12" customWidth="1"/>
    <col min="11" max="11" width="36.28515625" customWidth="1"/>
    <col min="12" max="12" width="12.85546875" customWidth="1"/>
  </cols>
  <sheetData>
    <row r="1" spans="1:15" s="21" customFormat="1">
      <c r="A1" s="42" t="s">
        <v>585</v>
      </c>
      <c r="C1"/>
      <c r="D1" s="21">
        <v>2023</v>
      </c>
      <c r="E1" s="21">
        <v>2024</v>
      </c>
      <c r="F1" s="21">
        <v>2025</v>
      </c>
      <c r="H1" s="42" t="s">
        <v>250</v>
      </c>
    </row>
    <row r="2" spans="1:15">
      <c r="B2" s="404" t="s">
        <v>586</v>
      </c>
      <c r="D2" s="715">
        <v>0</v>
      </c>
      <c r="E2" s="715">
        <v>7410.509</v>
      </c>
      <c r="F2" s="715">
        <v>6338.7979999999998</v>
      </c>
      <c r="G2" s="645"/>
      <c r="H2" s="14">
        <f>SUM(D2:F2)</f>
        <v>13749.307000000001</v>
      </c>
      <c r="K2" s="48"/>
    </row>
    <row r="3" spans="1:15">
      <c r="B3" s="404" t="s">
        <v>587</v>
      </c>
      <c r="D3" s="715">
        <v>-399.24</v>
      </c>
      <c r="E3" s="715">
        <v>-651.32799999999997</v>
      </c>
      <c r="F3" s="715">
        <v>-166.66900000000001</v>
      </c>
      <c r="G3" s="645"/>
      <c r="H3" s="14">
        <f t="shared" ref="H3:H4" si="0">SUM(D3:F3)</f>
        <v>-1217.2370000000001</v>
      </c>
    </row>
    <row r="4" spans="1:15">
      <c r="B4" s="1" t="s">
        <v>588</v>
      </c>
      <c r="D4" s="646">
        <f>D2+D3</f>
        <v>-399.24</v>
      </c>
      <c r="E4" s="646">
        <f>E2+E3</f>
        <v>6759.1810000000005</v>
      </c>
      <c r="F4" s="646">
        <f>F2+F3</f>
        <v>6172.1289999999999</v>
      </c>
      <c r="G4" s="645"/>
      <c r="H4" s="14">
        <f t="shared" si="0"/>
        <v>12532.07</v>
      </c>
    </row>
    <row r="6" spans="1:15" s="41" customFormat="1">
      <c r="A6" s="46" t="s">
        <v>589</v>
      </c>
      <c r="D6" s="574"/>
      <c r="E6" s="574"/>
      <c r="F6" s="575"/>
    </row>
    <row r="7" spans="1:15">
      <c r="A7" s="1"/>
      <c r="D7" s="401"/>
      <c r="E7" s="401"/>
      <c r="F7" s="237"/>
    </row>
    <row r="8" spans="1:15">
      <c r="A8" s="1" t="s">
        <v>395</v>
      </c>
      <c r="B8" s="1" t="s">
        <v>590</v>
      </c>
      <c r="D8" s="160" t="s">
        <v>591</v>
      </c>
      <c r="E8" s="401"/>
    </row>
    <row r="9" spans="1:15" s="16" customFormat="1">
      <c r="A9" s="26" t="s">
        <v>592</v>
      </c>
      <c r="B9" s="1">
        <v>2022</v>
      </c>
      <c r="C9"/>
      <c r="D9" s="1">
        <v>2023</v>
      </c>
      <c r="E9" s="1">
        <v>2024</v>
      </c>
      <c r="F9" s="1">
        <v>2025</v>
      </c>
    </row>
    <row r="10" spans="1:15">
      <c r="A10" t="s">
        <v>593</v>
      </c>
      <c r="B10" s="111">
        <v>-21062.842836694177</v>
      </c>
      <c r="C10" s="645"/>
      <c r="D10" s="111">
        <v>-10562.183990848702</v>
      </c>
      <c r="E10" s="111">
        <v>-10575.118318096313</v>
      </c>
      <c r="F10" s="111">
        <v>-9925.5410142415185</v>
      </c>
      <c r="G10" s="645"/>
      <c r="H10" s="14">
        <f>SUM(D10:F10)</f>
        <v>-31062.843323186535</v>
      </c>
    </row>
    <row r="11" spans="1:15">
      <c r="A11" t="s">
        <v>594</v>
      </c>
      <c r="B11" s="111">
        <v>136617.46752935881</v>
      </c>
      <c r="C11" s="645"/>
      <c r="D11" s="111">
        <v>12094.161236581747</v>
      </c>
      <c r="E11" s="111">
        <v>12183.132348284877</v>
      </c>
      <c r="F11" s="111">
        <v>12736.863779871275</v>
      </c>
      <c r="G11" s="645"/>
      <c r="H11" s="14">
        <f t="shared" ref="H11:H15" si="1">SUM(D11:F11)</f>
        <v>37014.157364737897</v>
      </c>
      <c r="J11" s="9"/>
      <c r="K11" s="1"/>
    </row>
    <row r="12" spans="1:15">
      <c r="A12" t="s">
        <v>595</v>
      </c>
      <c r="B12" s="85">
        <f>SUM(B10:B11)</f>
        <v>115554.62469266463</v>
      </c>
      <c r="C12" s="645"/>
      <c r="D12" s="85">
        <f>SUM(D10:D11)</f>
        <v>1531.9772457330455</v>
      </c>
      <c r="E12" s="85">
        <f t="shared" ref="E12:F12" si="2">SUM(E10:E11)</f>
        <v>1608.014030188564</v>
      </c>
      <c r="F12" s="85">
        <f t="shared" si="2"/>
        <v>2811.3227656297568</v>
      </c>
      <c r="G12" s="645"/>
      <c r="H12" s="14">
        <f t="shared" si="1"/>
        <v>5951.3140415513662</v>
      </c>
      <c r="L12" s="1"/>
      <c r="N12" s="416"/>
      <c r="O12" s="6"/>
    </row>
    <row r="13" spans="1:15">
      <c r="A13" t="s">
        <v>596</v>
      </c>
      <c r="B13" s="111">
        <v>64469.382651842207</v>
      </c>
      <c r="C13" s="645"/>
      <c r="D13" s="111">
        <v>6419.2536338085392</v>
      </c>
      <c r="E13" s="111">
        <v>7147.5601426106323</v>
      </c>
      <c r="F13" s="111">
        <v>8183.3154070686314</v>
      </c>
      <c r="G13" s="645"/>
      <c r="H13" s="14">
        <f>SUM(D13:F13)</f>
        <v>21750.129183487803</v>
      </c>
      <c r="I13" s="9"/>
      <c r="L13" s="411"/>
      <c r="N13" s="125"/>
      <c r="O13" s="125"/>
    </row>
    <row r="14" spans="1:15">
      <c r="A14" t="s">
        <v>597</v>
      </c>
      <c r="B14" s="111">
        <v>72148.084877516609</v>
      </c>
      <c r="C14" s="645"/>
      <c r="D14" s="111">
        <v>5674.9076027732081</v>
      </c>
      <c r="E14" s="111">
        <v>5035.5722056742452</v>
      </c>
      <c r="F14" s="111">
        <v>4553.5483728026411</v>
      </c>
      <c r="G14" s="645"/>
      <c r="H14" s="14">
        <f t="shared" si="1"/>
        <v>15264.028181250094</v>
      </c>
      <c r="L14" s="411"/>
      <c r="N14" s="125"/>
      <c r="O14" s="125"/>
    </row>
    <row r="15" spans="1:15">
      <c r="A15" t="s">
        <v>598</v>
      </c>
      <c r="B15" s="85">
        <f>B10+B14</f>
        <v>51085.242040822428</v>
      </c>
      <c r="C15" s="645"/>
      <c r="D15" s="646">
        <f>D10+D14</f>
        <v>-4887.2763880754937</v>
      </c>
      <c r="E15" s="646">
        <f>E10+E14</f>
        <v>-5539.5461124220674</v>
      </c>
      <c r="F15" s="646">
        <f t="shared" ref="F15" si="3">F10+F14</f>
        <v>-5371.9926414388774</v>
      </c>
      <c r="G15" s="645"/>
      <c r="H15" s="14">
        <f t="shared" si="1"/>
        <v>-15798.815141936439</v>
      </c>
      <c r="L15" s="411"/>
      <c r="N15" s="125"/>
      <c r="O15" s="125"/>
    </row>
    <row r="16" spans="1:15">
      <c r="A16" t="s">
        <v>599</v>
      </c>
      <c r="B16" s="405">
        <f>B13/B11</f>
        <v>0.4718970701018731</v>
      </c>
      <c r="D16" s="405">
        <f>D13/D11</f>
        <v>0.53077294970997557</v>
      </c>
      <c r="E16" s="405">
        <f>E13/E11</f>
        <v>0.58667672141121041</v>
      </c>
      <c r="F16" s="405">
        <f>F13/F11</f>
        <v>0.6424906121710392</v>
      </c>
      <c r="H16" s="405">
        <f>H13/H11</f>
        <v>0.58761648871705496</v>
      </c>
      <c r="J16" s="125"/>
    </row>
    <row r="17" spans="1:15">
      <c r="A17" t="s">
        <v>600</v>
      </c>
      <c r="B17" s="405">
        <f>B14/B11</f>
        <v>0.5281029298981269</v>
      </c>
      <c r="D17" s="405">
        <f>D14/D11</f>
        <v>0.46922705029002448</v>
      </c>
      <c r="E17" s="405">
        <f>E14/E11</f>
        <v>0.41332327858878964</v>
      </c>
      <c r="F17" s="405">
        <f>F14/F11</f>
        <v>0.35750938782896063</v>
      </c>
      <c r="H17" s="405">
        <f>H14/H11</f>
        <v>0.41238351128294504</v>
      </c>
      <c r="J17" s="125"/>
    </row>
    <row r="18" spans="1:15">
      <c r="B18" s="402"/>
      <c r="D18" s="402"/>
      <c r="E18" s="402"/>
      <c r="F18" s="402"/>
    </row>
    <row r="19" spans="1:15">
      <c r="B19" s="1" t="s">
        <v>601</v>
      </c>
      <c r="D19" s="183">
        <f>D$2*D16</f>
        <v>0</v>
      </c>
      <c r="E19" s="183">
        <f>E$2*E16</f>
        <v>4347.5731241082676</v>
      </c>
      <c r="K19" s="125"/>
    </row>
    <row r="20" spans="1:15">
      <c r="B20" s="1" t="s">
        <v>602</v>
      </c>
      <c r="D20" s="183">
        <f>D$2*D17</f>
        <v>0</v>
      </c>
      <c r="E20" s="183">
        <f>E$2*E17</f>
        <v>3062.9358758917328</v>
      </c>
      <c r="F20" s="126"/>
      <c r="G20" s="125"/>
      <c r="K20" s="9"/>
    </row>
    <row r="21" spans="1:15">
      <c r="B21" s="1" t="s">
        <v>603</v>
      </c>
      <c r="D21" s="183">
        <f>B13+D19</f>
        <v>64469.382651842207</v>
      </c>
      <c r="E21" s="183">
        <f>D21+E19</f>
        <v>68816.955775950468</v>
      </c>
      <c r="G21" s="9"/>
    </row>
    <row r="22" spans="1:15">
      <c r="B22" s="1" t="s">
        <v>602</v>
      </c>
      <c r="D22" s="183">
        <f>B14+D20</f>
        <v>72148.084877516609</v>
      </c>
      <c r="E22" s="183">
        <f>D22+E20</f>
        <v>75211.020753408346</v>
      </c>
      <c r="K22" s="9"/>
    </row>
    <row r="23" spans="1:15">
      <c r="B23" s="1" t="s">
        <v>604</v>
      </c>
      <c r="D23" s="183">
        <f>B15+D$3+D20</f>
        <v>50686.00204082243</v>
      </c>
      <c r="E23" s="413">
        <f>D23+$E$3+E20</f>
        <v>53097.609916714158</v>
      </c>
      <c r="K23" s="18"/>
    </row>
    <row r="24" spans="1:15">
      <c r="D24" s="360"/>
      <c r="E24" s="360"/>
    </row>
    <row r="25" spans="1:15">
      <c r="D25" s="360"/>
      <c r="E25" s="360"/>
    </row>
    <row r="26" spans="1:15" s="44" customFormat="1">
      <c r="A26" s="43" t="s">
        <v>605</v>
      </c>
    </row>
    <row r="27" spans="1:15">
      <c r="A27" s="6"/>
      <c r="M27" s="6"/>
      <c r="N27" s="6"/>
      <c r="O27" s="6"/>
    </row>
    <row r="28" spans="1:15">
      <c r="A28" t="s">
        <v>593</v>
      </c>
      <c r="B28" s="111">
        <v>-23681.891138305113</v>
      </c>
      <c r="C28" s="645"/>
      <c r="D28" s="111">
        <v>-12385.229673566402</v>
      </c>
      <c r="E28" s="111">
        <v>-13151.212027735202</v>
      </c>
      <c r="F28" s="111">
        <v>-11325.37919294544</v>
      </c>
      <c r="G28" s="645"/>
      <c r="H28" s="14">
        <f>SUM(D28:F28)</f>
        <v>-36861.820894247045</v>
      </c>
      <c r="N28" s="412"/>
      <c r="O28" s="412"/>
    </row>
    <row r="29" spans="1:15">
      <c r="A29" t="s">
        <v>594</v>
      </c>
      <c r="B29" s="111">
        <v>137779.38742562261</v>
      </c>
      <c r="C29" s="645"/>
      <c r="D29" s="111">
        <v>11779.508132188803</v>
      </c>
      <c r="E29" s="111">
        <v>11568.715573982818</v>
      </c>
      <c r="F29" s="111">
        <v>11843.267935133434</v>
      </c>
      <c r="G29" s="645"/>
      <c r="H29" s="14">
        <f t="shared" ref="H29:H33" si="4">SUM(D29:F29)</f>
        <v>35191.491641305052</v>
      </c>
      <c r="O29" s="412"/>
    </row>
    <row r="30" spans="1:15">
      <c r="A30" t="s">
        <v>595</v>
      </c>
      <c r="B30" s="85">
        <f>SUM(B28:B29)</f>
        <v>114097.4962873175</v>
      </c>
      <c r="C30" s="645"/>
      <c r="D30" s="85">
        <f t="shared" ref="D30" si="5">SUM(D28:D29)</f>
        <v>-605.72154137759935</v>
      </c>
      <c r="E30" s="85">
        <f t="shared" ref="E30" si="6">SUM(E28:E29)</f>
        <v>-1582.4964537523847</v>
      </c>
      <c r="F30" s="85">
        <f t="shared" ref="F30" si="7">SUM(F28:F29)</f>
        <v>517.88874218799356</v>
      </c>
      <c r="G30" s="645"/>
      <c r="H30" s="14">
        <f t="shared" si="4"/>
        <v>-1670.3292529419905</v>
      </c>
      <c r="O30" s="412"/>
    </row>
    <row r="31" spans="1:15">
      <c r="A31" t="s">
        <v>596</v>
      </c>
      <c r="B31" s="111">
        <v>53344.907797542903</v>
      </c>
      <c r="C31" s="645"/>
      <c r="D31" s="111">
        <v>5041.922795766518</v>
      </c>
      <c r="E31" s="111">
        <v>5696.0631942430928</v>
      </c>
      <c r="F31" s="111">
        <v>6587.0847368216037</v>
      </c>
      <c r="G31" s="645"/>
      <c r="H31" s="14">
        <f>SUM(D31:F31)</f>
        <v>17325.070726831214</v>
      </c>
      <c r="N31" s="412"/>
      <c r="O31" s="412"/>
    </row>
    <row r="32" spans="1:15">
      <c r="A32" t="s">
        <v>597</v>
      </c>
      <c r="B32" s="111">
        <v>84434.479628079702</v>
      </c>
      <c r="C32" s="645"/>
      <c r="D32" s="111">
        <v>6737.585336422283</v>
      </c>
      <c r="E32" s="111">
        <v>5872.6523797397267</v>
      </c>
      <c r="F32" s="111">
        <v>5256.1831983118263</v>
      </c>
      <c r="G32" s="645"/>
      <c r="H32" s="14">
        <f t="shared" si="4"/>
        <v>17866.420914473834</v>
      </c>
    </row>
    <row r="33" spans="1:11">
      <c r="A33" t="s">
        <v>598</v>
      </c>
      <c r="B33" s="85">
        <f>B28+B32</f>
        <v>60752.588489774585</v>
      </c>
      <c r="C33" s="645"/>
      <c r="D33" s="85">
        <f t="shared" ref="D33" si="8">D28+D32</f>
        <v>-5647.6443371441192</v>
      </c>
      <c r="E33" s="85">
        <f t="shared" ref="E33" si="9">E28+E32</f>
        <v>-7278.5596479954756</v>
      </c>
      <c r="F33" s="85">
        <f t="shared" ref="F33" si="10">F28+F32</f>
        <v>-6069.1959946336137</v>
      </c>
      <c r="G33" s="645"/>
      <c r="H33" s="14">
        <f t="shared" si="4"/>
        <v>-18995.39997977321</v>
      </c>
      <c r="K33" s="457"/>
    </row>
    <row r="34" spans="1:11">
      <c r="A34" t="s">
        <v>599</v>
      </c>
      <c r="B34" s="405">
        <f>B31/B29</f>
        <v>0.38717625904919967</v>
      </c>
      <c r="D34" s="405">
        <f>D31/D29</f>
        <v>0.42802490046158287</v>
      </c>
      <c r="E34" s="405">
        <f>E31/E29</f>
        <v>0.49236781367960292</v>
      </c>
      <c r="F34" s="405">
        <f>F31/F29</f>
        <v>0.55618810390000595</v>
      </c>
      <c r="H34" s="405">
        <f>H31/H29</f>
        <v>0.49230850750572863</v>
      </c>
      <c r="K34" s="456"/>
    </row>
    <row r="35" spans="1:11">
      <c r="A35" t="s">
        <v>600</v>
      </c>
      <c r="B35" s="405">
        <f>B32/B29</f>
        <v>0.61282374095080028</v>
      </c>
      <c r="D35" s="405">
        <f>D32/D29</f>
        <v>0.57197509953841696</v>
      </c>
      <c r="E35" s="405">
        <f>E32/E29</f>
        <v>0.50763218632039719</v>
      </c>
      <c r="F35" s="405">
        <f>F32/F29</f>
        <v>0.44381189609999372</v>
      </c>
      <c r="H35" s="405">
        <f>H32/H29</f>
        <v>0.50769149249427126</v>
      </c>
    </row>
    <row r="36" spans="1:11">
      <c r="B36" s="402"/>
      <c r="D36" s="402"/>
      <c r="E36" s="402"/>
      <c r="F36" s="402"/>
    </row>
    <row r="37" spans="1:11">
      <c r="B37" s="1" t="s">
        <v>601</v>
      </c>
      <c r="D37" s="183">
        <f>D$2*D34</f>
        <v>0</v>
      </c>
      <c r="E37" s="183">
        <f>E$2*E34</f>
        <v>3648.6961145830205</v>
      </c>
    </row>
    <row r="38" spans="1:11">
      <c r="B38" s="1" t="s">
        <v>602</v>
      </c>
      <c r="D38" s="183">
        <f>D$2*D35</f>
        <v>0</v>
      </c>
      <c r="E38" s="183">
        <f>E$2*E35</f>
        <v>3761.8128854169804</v>
      </c>
      <c r="F38" s="126"/>
    </row>
    <row r="39" spans="1:11">
      <c r="B39" s="1" t="s">
        <v>603</v>
      </c>
      <c r="D39" s="183">
        <f>B31+D37</f>
        <v>53344.907797542903</v>
      </c>
      <c r="E39" s="183">
        <f>D39+E37</f>
        <v>56993.603912125924</v>
      </c>
    </row>
    <row r="40" spans="1:11">
      <c r="B40" s="1" t="s">
        <v>602</v>
      </c>
      <c r="D40" s="183">
        <f>B32+D38</f>
        <v>84434.479628079702</v>
      </c>
      <c r="E40" s="183">
        <f>D40+E35</f>
        <v>84434.987260266018</v>
      </c>
    </row>
    <row r="41" spans="1:11">
      <c r="B41" s="1" t="s">
        <v>604</v>
      </c>
      <c r="D41" s="183">
        <f>B33+D$3+D38</f>
        <v>60353.348489774588</v>
      </c>
      <c r="E41" s="535">
        <f>D41+$E$3+E38</f>
        <v>63463.833375191563</v>
      </c>
    </row>
    <row r="42" spans="1:11">
      <c r="D42" s="401"/>
      <c r="E42" s="401"/>
    </row>
    <row r="43" spans="1:11">
      <c r="D43" s="401"/>
      <c r="E43" s="401"/>
    </row>
    <row r="44" spans="1:11" s="317" customFormat="1">
      <c r="A44" s="320" t="s">
        <v>606</v>
      </c>
      <c r="D44" s="403"/>
      <c r="E44" s="403"/>
    </row>
    <row r="45" spans="1:11">
      <c r="A45" t="s">
        <v>593</v>
      </c>
      <c r="B45" s="644">
        <v>-18438.800015083238</v>
      </c>
      <c r="C45" s="645"/>
      <c r="D45" s="111">
        <v>-9246.930059118662</v>
      </c>
      <c r="E45" s="111">
        <v>-9249.7533297937316</v>
      </c>
      <c r="F45" s="111">
        <v>-8679.0012568200054</v>
      </c>
      <c r="G45" s="645"/>
      <c r="H45" s="14">
        <f>SUM(D45:F45)</f>
        <v>-27175.684645732399</v>
      </c>
    </row>
    <row r="46" spans="1:11">
      <c r="A46" t="s">
        <v>594</v>
      </c>
      <c r="B46" s="644">
        <v>135343.62059309502</v>
      </c>
      <c r="C46" s="645"/>
      <c r="D46" s="111">
        <v>12074.569704223657</v>
      </c>
      <c r="E46" s="111">
        <v>12179.448709253898</v>
      </c>
      <c r="F46" s="111">
        <v>12643.328453527145</v>
      </c>
      <c r="G46" s="645"/>
      <c r="H46" s="14">
        <f t="shared" ref="H46:H50" si="11">SUM(D46:F46)</f>
        <v>36897.3468670047</v>
      </c>
    </row>
    <row r="47" spans="1:11">
      <c r="A47" t="s">
        <v>595</v>
      </c>
      <c r="B47" s="646">
        <f>SUM(B45:B46)</f>
        <v>116904.82057801179</v>
      </c>
      <c r="C47" s="645"/>
      <c r="D47" s="85">
        <f t="shared" ref="D47" si="12">SUM(D45:D46)</f>
        <v>2827.639645104995</v>
      </c>
      <c r="E47" s="85">
        <f t="shared" ref="E47" si="13">SUM(E45:E46)</f>
        <v>2929.6953794601668</v>
      </c>
      <c r="F47" s="85">
        <f t="shared" ref="F47" si="14">SUM(F45:F46)</f>
        <v>3964.3271967071396</v>
      </c>
      <c r="G47" s="645"/>
      <c r="H47" s="14">
        <f t="shared" si="11"/>
        <v>9721.6622212723014</v>
      </c>
    </row>
    <row r="48" spans="1:11">
      <c r="A48" t="s">
        <v>596</v>
      </c>
      <c r="B48" s="644">
        <v>74777.897433267295</v>
      </c>
      <c r="C48" s="645"/>
      <c r="D48" s="111">
        <v>7293.2006342609593</v>
      </c>
      <c r="E48" s="111">
        <v>7944.1864804761562</v>
      </c>
      <c r="F48" s="111">
        <v>8817.0952835339194</v>
      </c>
      <c r="G48" s="645"/>
      <c r="H48" s="14">
        <f>SUM(D48:F48)</f>
        <v>24054.482398271037</v>
      </c>
    </row>
    <row r="49" spans="1:8">
      <c r="A49" t="s">
        <v>597</v>
      </c>
      <c r="B49" s="644">
        <v>60565.723159827699</v>
      </c>
      <c r="C49" s="645"/>
      <c r="D49" s="111">
        <v>4781.3690699626995</v>
      </c>
      <c r="E49" s="111">
        <v>4235.2622287777449</v>
      </c>
      <c r="F49" s="111">
        <v>3826.2331699932256</v>
      </c>
      <c r="G49" s="645"/>
      <c r="H49" s="14">
        <f t="shared" si="11"/>
        <v>12842.864468733671</v>
      </c>
    </row>
    <row r="50" spans="1:8">
      <c r="A50" t="s">
        <v>598</v>
      </c>
      <c r="B50" s="646">
        <f>B45+B49</f>
        <v>42126.923144744462</v>
      </c>
      <c r="C50" s="645"/>
      <c r="D50" s="85">
        <f t="shared" ref="D50" si="15">D45+D49</f>
        <v>-4465.5609891559625</v>
      </c>
      <c r="E50" s="85">
        <f t="shared" ref="E50" si="16">E45+E49</f>
        <v>-5014.4911010159867</v>
      </c>
      <c r="F50" s="85">
        <f t="shared" ref="F50" si="17">F45+F49</f>
        <v>-4852.7680868267798</v>
      </c>
      <c r="G50" s="645"/>
      <c r="H50" s="14">
        <f t="shared" si="11"/>
        <v>-14332.82017699873</v>
      </c>
    </row>
    <row r="51" spans="1:8">
      <c r="A51" t="s">
        <v>599</v>
      </c>
      <c r="B51" s="405">
        <f>B48/B46</f>
        <v>0.55250404197538017</v>
      </c>
      <c r="D51" s="405">
        <f>D48/D46</f>
        <v>0.60401329512469615</v>
      </c>
      <c r="E51" s="405">
        <f>E48/E46</f>
        <v>0.65226158179394389</v>
      </c>
      <c r="F51" s="405">
        <f>F48/F46</f>
        <v>0.69737136988434323</v>
      </c>
      <c r="H51" s="405">
        <f>H48/H46</f>
        <v>0.65192986598669667</v>
      </c>
    </row>
    <row r="52" spans="1:8">
      <c r="A52" t="s">
        <v>600</v>
      </c>
      <c r="B52" s="405">
        <f>B49/B46</f>
        <v>0.44749595802461967</v>
      </c>
      <c r="D52" s="405">
        <f>D49/D46</f>
        <v>0.39598670487530396</v>
      </c>
      <c r="E52" s="405">
        <f>E49/E46</f>
        <v>0.34773841820605633</v>
      </c>
      <c r="F52" s="405">
        <f>F49/F46</f>
        <v>0.30262863011565683</v>
      </c>
      <c r="H52" s="405">
        <f>H49/H46</f>
        <v>0.3480701340133035</v>
      </c>
    </row>
    <row r="53" spans="1:8">
      <c r="B53" s="402"/>
      <c r="D53" s="402"/>
      <c r="E53" s="402"/>
      <c r="F53" s="402"/>
    </row>
    <row r="54" spans="1:8">
      <c r="B54" s="1" t="s">
        <v>601</v>
      </c>
      <c r="D54" s="85">
        <f>D$2*D51</f>
        <v>0</v>
      </c>
      <c r="E54" s="85">
        <f>E$2*E51</f>
        <v>4833.5903222382576</v>
      </c>
    </row>
    <row r="55" spans="1:8">
      <c r="B55" s="1" t="s">
        <v>602</v>
      </c>
      <c r="D55" s="85">
        <f>D$2*D52</f>
        <v>0</v>
      </c>
      <c r="E55" s="85">
        <f>E$2*E52</f>
        <v>2576.9186777617442</v>
      </c>
      <c r="F55" s="126"/>
    </row>
    <row r="56" spans="1:8">
      <c r="B56" s="1" t="s">
        <v>603</v>
      </c>
      <c r="D56" s="85">
        <f>B48+D54</f>
        <v>74777.897433267295</v>
      </c>
      <c r="E56" s="85">
        <f>D56+E54</f>
        <v>79611.487755505557</v>
      </c>
    </row>
    <row r="57" spans="1:8">
      <c r="B57" s="1" t="s">
        <v>602</v>
      </c>
      <c r="D57" s="85">
        <f>B49+D55</f>
        <v>60565.723159827699</v>
      </c>
      <c r="E57" s="85">
        <f>D57+E52</f>
        <v>60566.070898245904</v>
      </c>
    </row>
    <row r="58" spans="1:8">
      <c r="B58" s="1" t="s">
        <v>604</v>
      </c>
      <c r="D58" s="85">
        <f>B50+D$3+D55</f>
        <v>41727.683144744464</v>
      </c>
      <c r="E58" s="716">
        <f>D58+$E$3+E55</f>
        <v>43653.273822506206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0175-FAB2-4782-9BE0-4B0CBA628084}">
  <dimension ref="A1:O55"/>
  <sheetViews>
    <sheetView zoomScale="85" zoomScaleNormal="85" workbookViewId="0">
      <selection activeCell="A29" sqref="A29"/>
    </sheetView>
  </sheetViews>
  <sheetFormatPr defaultRowHeight="15"/>
  <cols>
    <col min="1" max="1" width="78.42578125" style="12" customWidth="1"/>
    <col min="2" max="4" width="15" customWidth="1"/>
    <col min="6" max="6" width="29.42578125" customWidth="1"/>
    <col min="7" max="9" width="10.5703125" bestFit="1" customWidth="1"/>
    <col min="10" max="10" width="9.28515625" bestFit="1" customWidth="1"/>
    <col min="12" max="12" width="37" customWidth="1"/>
    <col min="13" max="13" width="9.5703125" bestFit="1" customWidth="1"/>
  </cols>
  <sheetData>
    <row r="1" spans="1:14" s="41" customFormat="1">
      <c r="A1" s="536" t="s">
        <v>607</v>
      </c>
    </row>
    <row r="2" spans="1:14" s="12" customFormat="1">
      <c r="A2" s="50" t="s">
        <v>608</v>
      </c>
      <c r="B2" s="50" t="s">
        <v>420</v>
      </c>
      <c r="C2" s="50" t="s">
        <v>425</v>
      </c>
      <c r="D2" s="50" t="s">
        <v>429</v>
      </c>
      <c r="N2" s="506"/>
    </row>
    <row r="3" spans="1:14">
      <c r="A3" s="50" t="s">
        <v>609</v>
      </c>
      <c r="B3" s="89">
        <f>SUM('P89 units held for harvest'!D11:F11)</f>
        <v>37014.157364737897</v>
      </c>
      <c r="C3" s="89">
        <f>SUM('P89 units held for harvest'!D29:F29)</f>
        <v>35191.491641305052</v>
      </c>
      <c r="D3" s="89">
        <f>SUM('P89 units held for harvest'!D46:F46)</f>
        <v>36897.3468670047</v>
      </c>
      <c r="N3" s="7"/>
    </row>
    <row r="4" spans="1:14">
      <c r="A4" s="12" t="s">
        <v>610</v>
      </c>
      <c r="B4" s="14">
        <f>SUM('P89 units held for harvest'!D14:F14)</f>
        <v>15264.028181250094</v>
      </c>
      <c r="C4" s="14">
        <f>SUM('P89 units held for harvest'!D32:F32)</f>
        <v>17866.420914473834</v>
      </c>
      <c r="D4" s="14">
        <f>SUM('P89 units held for harvest'!D49:F49)</f>
        <v>12842.864468733671</v>
      </c>
      <c r="E4" s="33"/>
      <c r="F4" s="121"/>
      <c r="G4" s="125"/>
      <c r="H4" s="125"/>
      <c r="I4" s="125"/>
      <c r="J4" s="125"/>
      <c r="N4" s="7"/>
    </row>
    <row r="5" spans="1:14">
      <c r="A5" s="12" t="s">
        <v>611</v>
      </c>
      <c r="B5" s="14">
        <f>B3-B4</f>
        <v>21750.129183487803</v>
      </c>
      <c r="C5" s="14">
        <f>C3-C4</f>
        <v>17325.070726831218</v>
      </c>
      <c r="D5" s="14">
        <f>D3-D4</f>
        <v>24054.48239827103</v>
      </c>
      <c r="F5" s="121"/>
      <c r="G5" s="125"/>
      <c r="H5" s="125"/>
      <c r="I5" s="125"/>
      <c r="J5" s="125"/>
      <c r="N5" s="7"/>
    </row>
    <row r="6" spans="1:14">
      <c r="A6" s="50" t="s">
        <v>612</v>
      </c>
      <c r="B6" s="89">
        <f>SUM('P89 units held for harvest'!$D$2:$E$2)</f>
        <v>7410.509</v>
      </c>
      <c r="C6" s="89">
        <f>SUM('P89 units held for harvest'!$D$2:$E$2)</f>
        <v>7410.509</v>
      </c>
      <c r="D6" s="89">
        <f>SUM('P89 units held for harvest'!$D$2:$E$2)</f>
        <v>7410.509</v>
      </c>
      <c r="F6" s="189"/>
      <c r="G6" s="125"/>
      <c r="H6" s="125"/>
      <c r="I6" s="125"/>
      <c r="J6" s="125"/>
    </row>
    <row r="7" spans="1:14">
      <c r="A7" s="12" t="s">
        <v>613</v>
      </c>
      <c r="B7" s="14">
        <f>B6-B8</f>
        <v>3062.9358758917324</v>
      </c>
      <c r="C7" s="14">
        <f>C6-C8</f>
        <v>3761.8128854169795</v>
      </c>
      <c r="D7" s="14">
        <f>D6-D8</f>
        <v>2576.9186777617424</v>
      </c>
      <c r="E7" s="33"/>
      <c r="F7" s="189"/>
      <c r="G7" s="125"/>
      <c r="H7" s="125"/>
      <c r="I7" s="125"/>
      <c r="J7" s="125"/>
    </row>
    <row r="8" spans="1:14" ht="30">
      <c r="A8" s="12" t="s">
        <v>614</v>
      </c>
      <c r="B8" s="14">
        <f>'P89 units held for harvest'!E19</f>
        <v>4347.5731241082676</v>
      </c>
      <c r="C8" s="14">
        <f>'P89 units held for harvest'!E37</f>
        <v>3648.6961145830205</v>
      </c>
      <c r="D8" s="14">
        <f>'P89 units held for harvest'!E54</f>
        <v>4833.5903222382576</v>
      </c>
      <c r="F8" s="189"/>
      <c r="G8" s="125"/>
      <c r="H8" s="125"/>
      <c r="I8" s="125"/>
      <c r="J8" s="125"/>
    </row>
    <row r="9" spans="1:14">
      <c r="A9" s="12" t="s">
        <v>615</v>
      </c>
      <c r="B9" s="14">
        <f>B5-B8</f>
        <v>17402.556059379534</v>
      </c>
      <c r="C9" s="14">
        <f>C5-C8</f>
        <v>13676.374612248197</v>
      </c>
      <c r="D9" s="14">
        <f>D5-D8</f>
        <v>19220.892076032771</v>
      </c>
      <c r="F9" s="189"/>
      <c r="G9" s="125"/>
      <c r="H9" s="125"/>
      <c r="I9" s="125"/>
      <c r="J9" s="125"/>
    </row>
    <row r="10" spans="1:14">
      <c r="A10" s="12" t="s">
        <v>616</v>
      </c>
      <c r="B10" s="14">
        <f>('2. NZ ETS cap'!$D$28-'2. NZ ETS cap'!$D$35)</f>
        <v>7375.2866270174272</v>
      </c>
      <c r="C10" s="14">
        <f>('2. NZ ETS cap'!$D$28-'2. NZ ETS cap'!$D$35)</f>
        <v>7375.2866270174272</v>
      </c>
      <c r="D10" s="14">
        <f>('2. NZ ETS cap'!$D$28-'2. NZ ETS cap'!$D$35)</f>
        <v>7375.2866270174272</v>
      </c>
      <c r="G10" s="125"/>
      <c r="H10" s="125"/>
      <c r="I10" s="125"/>
      <c r="J10" s="125"/>
    </row>
    <row r="11" spans="1:14">
      <c r="B11" s="14"/>
      <c r="C11" s="14"/>
      <c r="D11" s="14"/>
      <c r="G11" s="125"/>
      <c r="H11" s="125"/>
      <c r="I11" s="125"/>
      <c r="J11" s="125"/>
    </row>
    <row r="12" spans="1:14" ht="30">
      <c r="A12" s="537" t="s">
        <v>617</v>
      </c>
      <c r="B12" s="538">
        <f>B9-B10</f>
        <v>10027.269432362107</v>
      </c>
      <c r="C12" s="539">
        <f>C9-C10</f>
        <v>6301.0879852307698</v>
      </c>
      <c r="D12" s="539">
        <f>D9-D10</f>
        <v>11845.605449015344</v>
      </c>
      <c r="G12" s="125"/>
      <c r="H12" s="125"/>
      <c r="I12" s="125"/>
      <c r="J12" s="125"/>
    </row>
    <row r="13" spans="1:14">
      <c r="F13" s="189"/>
      <c r="G13" s="125"/>
      <c r="H13" s="125"/>
      <c r="I13" s="125"/>
      <c r="J13" s="125"/>
    </row>
    <row r="14" spans="1:14">
      <c r="F14" s="189"/>
      <c r="G14" s="125"/>
      <c r="H14" s="125"/>
      <c r="I14" s="125"/>
      <c r="J14" s="125"/>
    </row>
    <row r="15" spans="1:14">
      <c r="F15" s="189"/>
      <c r="G15" s="125"/>
      <c r="H15" s="125"/>
      <c r="I15" s="125"/>
      <c r="J15" s="125"/>
    </row>
    <row r="16" spans="1:14">
      <c r="F16" s="189"/>
      <c r="G16" s="125"/>
      <c r="H16" s="125"/>
      <c r="I16" s="125"/>
      <c r="J16" s="125"/>
    </row>
    <row r="17" spans="2:15">
      <c r="G17" s="125"/>
      <c r="H17" s="125"/>
      <c r="I17" s="125"/>
      <c r="J17" s="125"/>
    </row>
    <row r="18" spans="2:15">
      <c r="B18" s="18"/>
      <c r="F18" s="189"/>
      <c r="G18" s="125"/>
      <c r="H18" s="125"/>
      <c r="I18" s="125"/>
      <c r="J18" s="125"/>
      <c r="M18" s="437"/>
      <c r="N18" s="437"/>
    </row>
    <row r="19" spans="2:15">
      <c r="B19" s="18"/>
      <c r="G19" s="125"/>
      <c r="H19" s="125"/>
      <c r="I19" s="125"/>
      <c r="J19" s="125"/>
      <c r="M19" s="437"/>
      <c r="N19" s="437"/>
    </row>
    <row r="20" spans="2:15">
      <c r="B20" s="18"/>
      <c r="F20" s="189"/>
      <c r="G20" s="125"/>
      <c r="H20" s="125"/>
      <c r="I20" s="125"/>
      <c r="J20" s="125"/>
      <c r="M20" s="437"/>
      <c r="N20" s="437"/>
    </row>
    <row r="21" spans="2:15">
      <c r="B21" s="18"/>
      <c r="G21" s="125"/>
      <c r="H21" s="125"/>
      <c r="I21" s="125"/>
      <c r="J21" s="125"/>
      <c r="M21" s="437"/>
      <c r="N21" s="437"/>
    </row>
    <row r="22" spans="2:15">
      <c r="B22" s="18"/>
      <c r="F22" s="189"/>
      <c r="G22" s="125"/>
      <c r="H22" s="125"/>
      <c r="I22" s="125"/>
      <c r="J22" s="125"/>
    </row>
    <row r="23" spans="2:15">
      <c r="B23" s="18"/>
      <c r="G23" s="125"/>
      <c r="H23" s="125"/>
      <c r="I23" s="125"/>
      <c r="J23" s="125"/>
    </row>
    <row r="24" spans="2:15">
      <c r="B24" s="18"/>
      <c r="G24" s="125"/>
      <c r="H24" s="125"/>
      <c r="I24" s="125"/>
      <c r="J24" s="125"/>
    </row>
    <row r="25" spans="2:15">
      <c r="B25" s="18"/>
      <c r="G25" s="125"/>
      <c r="H25" s="125"/>
      <c r="I25" s="125"/>
      <c r="J25" s="125"/>
      <c r="M25" s="7"/>
      <c r="N25" s="7"/>
      <c r="O25" s="7"/>
    </row>
    <row r="26" spans="2:15">
      <c r="B26" s="18"/>
      <c r="G26" s="125"/>
      <c r="H26" s="125"/>
      <c r="I26" s="125"/>
      <c r="J26" s="125"/>
      <c r="M26" s="7"/>
      <c r="N26" s="7"/>
      <c r="O26" s="7"/>
    </row>
    <row r="27" spans="2:15">
      <c r="G27" s="125"/>
      <c r="H27" s="125"/>
      <c r="I27" s="125"/>
      <c r="J27" s="125"/>
      <c r="M27" s="7"/>
      <c r="N27" s="7"/>
      <c r="O27" s="7"/>
    </row>
    <row r="28" spans="2:15">
      <c r="M28" s="7"/>
      <c r="N28" s="7"/>
      <c r="O28" s="7"/>
    </row>
    <row r="29" spans="2:15">
      <c r="M29" s="7"/>
      <c r="N29" s="7"/>
      <c r="O29" s="7"/>
    </row>
    <row r="30" spans="2:15">
      <c r="M30" s="7"/>
      <c r="N30" s="7"/>
      <c r="O30" s="7"/>
    </row>
    <row r="31" spans="2:15">
      <c r="M31" s="7"/>
      <c r="N31" s="7"/>
      <c r="O31" s="7"/>
    </row>
    <row r="32" spans="2:15">
      <c r="M32" s="7"/>
      <c r="N32" s="7"/>
      <c r="O32" s="7"/>
    </row>
    <row r="33" spans="13:15">
      <c r="M33" s="7"/>
      <c r="N33" s="7"/>
      <c r="O33" s="7"/>
    </row>
    <row r="34" spans="13:15">
      <c r="M34" s="7"/>
      <c r="N34" s="7"/>
      <c r="O34" s="7"/>
    </row>
    <row r="37" spans="13:15">
      <c r="M37" s="7"/>
      <c r="N37" s="7"/>
    </row>
    <row r="49" spans="1:3">
      <c r="A49" s="50"/>
    </row>
    <row r="52" spans="1:3">
      <c r="B52" s="18"/>
    </row>
    <row r="55" spans="1:3">
      <c r="C55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C090-670D-4B31-8277-F11F133374BD}">
  <dimension ref="A1:AI96"/>
  <sheetViews>
    <sheetView zoomScale="85" zoomScaleNormal="85" workbookViewId="0">
      <pane ySplit="2" topLeftCell="A3" activePane="bottomLeft" state="frozen"/>
      <selection pane="bottomLeft" activeCell="S63" sqref="S63"/>
      <selection activeCell="R22" sqref="R22"/>
    </sheetView>
  </sheetViews>
  <sheetFormatPr defaultRowHeight="15"/>
  <cols>
    <col min="2" max="2" width="21.7109375" customWidth="1"/>
    <col min="3" max="3" width="27.85546875" customWidth="1"/>
    <col min="4" max="4" width="16.5703125" customWidth="1"/>
    <col min="5" max="10" width="12.28515625" customWidth="1"/>
    <col min="11" max="11" width="13.5703125" customWidth="1"/>
    <col min="12" max="12" width="12.5703125" style="14" customWidth="1"/>
    <col min="13" max="13" width="15.42578125" customWidth="1"/>
    <col min="14" max="14" width="11.42578125" customWidth="1"/>
    <col min="15" max="15" width="11.28515625" customWidth="1"/>
    <col min="16" max="20" width="12" customWidth="1"/>
    <col min="21" max="30" width="11.42578125" customWidth="1"/>
    <col min="31" max="35" width="11.28515625" customWidth="1"/>
  </cols>
  <sheetData>
    <row r="1" spans="1:34">
      <c r="D1" t="s">
        <v>618</v>
      </c>
    </row>
    <row r="2" spans="1:34" s="1" customFormat="1">
      <c r="A2" s="1" t="s">
        <v>619</v>
      </c>
      <c r="D2" s="1" t="s">
        <v>620</v>
      </c>
      <c r="E2" s="1" t="s">
        <v>621</v>
      </c>
      <c r="F2" s="1" t="s">
        <v>622</v>
      </c>
      <c r="G2" s="1" t="s">
        <v>623</v>
      </c>
      <c r="H2" s="1" t="s">
        <v>624</v>
      </c>
      <c r="I2" s="1" t="s">
        <v>625</v>
      </c>
      <c r="K2"/>
      <c r="L2" s="89"/>
    </row>
    <row r="3" spans="1:34">
      <c r="A3" s="46" t="s">
        <v>626</v>
      </c>
      <c r="B3" s="41"/>
      <c r="C3" s="46" t="s">
        <v>245</v>
      </c>
      <c r="D3" s="46"/>
      <c r="E3" s="46"/>
      <c r="F3" s="46"/>
      <c r="G3" s="46"/>
      <c r="H3" s="46"/>
      <c r="I3" s="46"/>
      <c r="J3" s="41"/>
      <c r="K3" s="41"/>
      <c r="L3" s="142"/>
      <c r="M3" s="41"/>
      <c r="N3" s="41"/>
      <c r="O3" s="41"/>
    </row>
    <row r="4" spans="1:34">
      <c r="A4" s="1"/>
      <c r="C4" s="1"/>
      <c r="D4" s="1"/>
    </row>
    <row r="5" spans="1:34">
      <c r="B5" t="s">
        <v>627</v>
      </c>
      <c r="C5" t="s">
        <v>628</v>
      </c>
      <c r="D5" s="28">
        <v>0.31031422778621542</v>
      </c>
      <c r="E5" s="28">
        <v>7.6309564807515842E-2</v>
      </c>
      <c r="F5" s="28">
        <v>8.5298729126114942E-3</v>
      </c>
      <c r="G5" s="28">
        <v>0</v>
      </c>
      <c r="H5" s="28">
        <v>0</v>
      </c>
      <c r="I5" s="28">
        <v>0</v>
      </c>
      <c r="M5" s="14"/>
      <c r="N5" s="14"/>
      <c r="O5" s="14"/>
      <c r="R5" s="237"/>
      <c r="S5" s="237"/>
      <c r="T5" s="237"/>
      <c r="U5" s="237"/>
    </row>
    <row r="6" spans="1:34">
      <c r="C6" t="s">
        <v>247</v>
      </c>
      <c r="D6" s="28">
        <v>1</v>
      </c>
      <c r="E6" s="28">
        <v>0.75</v>
      </c>
      <c r="F6" s="28">
        <v>0.5</v>
      </c>
      <c r="G6" s="28">
        <v>0.25</v>
      </c>
      <c r="H6" s="28">
        <v>0</v>
      </c>
      <c r="I6" s="28">
        <v>0</v>
      </c>
      <c r="M6" s="14"/>
      <c r="N6" s="14"/>
      <c r="O6" s="14"/>
      <c r="R6" s="237"/>
      <c r="S6" s="237"/>
      <c r="T6" s="237"/>
      <c r="U6" s="237"/>
    </row>
    <row r="7" spans="1:34">
      <c r="C7" t="s">
        <v>629</v>
      </c>
      <c r="D7" s="28">
        <v>1</v>
      </c>
      <c r="E7" s="28">
        <v>0.67</v>
      </c>
      <c r="F7" s="28">
        <v>0.33</v>
      </c>
      <c r="G7" s="28">
        <v>0</v>
      </c>
      <c r="H7" s="28">
        <v>0</v>
      </c>
      <c r="I7" s="28">
        <v>0</v>
      </c>
      <c r="M7" s="14"/>
      <c r="N7" s="14"/>
      <c r="O7" s="14"/>
      <c r="R7" s="237"/>
      <c r="S7" s="237"/>
      <c r="T7" s="237"/>
      <c r="U7" s="237"/>
    </row>
    <row r="8" spans="1:34">
      <c r="C8" t="s">
        <v>630</v>
      </c>
      <c r="D8" s="28">
        <v>1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M8" s="14"/>
      <c r="N8" s="14"/>
      <c r="O8" s="14"/>
      <c r="R8" s="237"/>
      <c r="S8" s="237"/>
      <c r="T8" s="237"/>
      <c r="U8" s="237"/>
    </row>
    <row r="9" spans="1:34">
      <c r="D9" s="33"/>
      <c r="E9" s="33"/>
      <c r="F9" s="33"/>
      <c r="G9" s="33"/>
      <c r="H9" s="33"/>
      <c r="I9" s="33"/>
      <c r="L9" s="89"/>
      <c r="M9" s="89"/>
      <c r="N9" s="89"/>
      <c r="O9" s="100"/>
      <c r="R9" s="6"/>
      <c r="S9" s="6"/>
      <c r="T9" s="6"/>
      <c r="U9" s="6"/>
    </row>
    <row r="10" spans="1:34">
      <c r="B10" t="s">
        <v>421</v>
      </c>
      <c r="C10" t="s">
        <v>628</v>
      </c>
      <c r="D10" s="564">
        <v>0.26644571390973609</v>
      </c>
      <c r="E10" s="564">
        <v>4.585673411863566E-2</v>
      </c>
      <c r="F10" s="28">
        <v>0</v>
      </c>
      <c r="G10" s="28">
        <v>0</v>
      </c>
      <c r="H10" s="28">
        <v>0</v>
      </c>
      <c r="I10" s="28">
        <v>0</v>
      </c>
      <c r="M10" s="14"/>
      <c r="N10" s="14"/>
      <c r="O10" s="88"/>
      <c r="R10" s="237"/>
      <c r="S10" s="237"/>
      <c r="T10" s="237"/>
      <c r="U10" s="237"/>
    </row>
    <row r="11" spans="1:34">
      <c r="C11" t="s">
        <v>247</v>
      </c>
      <c r="D11" s="28">
        <v>1</v>
      </c>
      <c r="E11" s="28">
        <v>0.67</v>
      </c>
      <c r="F11" s="28">
        <v>0.33</v>
      </c>
      <c r="G11" s="28">
        <v>0</v>
      </c>
      <c r="H11" s="28">
        <v>0</v>
      </c>
      <c r="I11" s="28">
        <v>0</v>
      </c>
      <c r="M11" s="14"/>
      <c r="N11" s="14"/>
      <c r="O11" s="88"/>
      <c r="R11" s="237"/>
      <c r="S11" s="237"/>
      <c r="T11" s="237"/>
      <c r="U11" s="237"/>
    </row>
    <row r="12" spans="1:34">
      <c r="C12" t="s">
        <v>629</v>
      </c>
      <c r="D12" s="28">
        <v>1</v>
      </c>
      <c r="E12" s="28">
        <v>0.5</v>
      </c>
      <c r="F12" s="28">
        <v>0.25</v>
      </c>
      <c r="G12" s="28">
        <v>0</v>
      </c>
      <c r="H12" s="28">
        <v>0</v>
      </c>
      <c r="I12" s="28">
        <v>0</v>
      </c>
      <c r="M12" s="14"/>
      <c r="N12" s="14"/>
      <c r="O12" s="88"/>
      <c r="R12" s="237"/>
      <c r="S12" s="237"/>
      <c r="T12" s="237"/>
      <c r="U12" s="237"/>
      <c r="AH12" s="1"/>
    </row>
    <row r="13" spans="1:34">
      <c r="C13" t="s">
        <v>630</v>
      </c>
      <c r="D13" s="28">
        <v>1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L13" s="89"/>
      <c r="M13" s="89"/>
      <c r="N13" s="89"/>
      <c r="O13" s="100"/>
      <c r="R13" s="237"/>
      <c r="S13" s="237"/>
      <c r="T13" s="237"/>
      <c r="U13" s="237"/>
    </row>
    <row r="14" spans="1:34">
      <c r="D14" s="33"/>
      <c r="E14" s="33"/>
      <c r="F14" s="33"/>
      <c r="G14" s="33"/>
      <c r="H14" s="33"/>
      <c r="I14" s="33"/>
      <c r="M14" s="14"/>
      <c r="N14" s="14"/>
      <c r="O14" s="88"/>
      <c r="Q14" s="621"/>
      <c r="R14" s="621"/>
      <c r="S14" s="621"/>
      <c r="T14" s="621"/>
      <c r="U14" s="621"/>
    </row>
    <row r="15" spans="1:34">
      <c r="B15" t="s">
        <v>631</v>
      </c>
      <c r="C15" t="s">
        <v>628</v>
      </c>
      <c r="D15" s="28">
        <v>0.21914972270237712</v>
      </c>
      <c r="E15" s="28">
        <v>1.4628790199758256E-2</v>
      </c>
      <c r="F15" s="28">
        <v>0</v>
      </c>
      <c r="G15" s="28">
        <v>0</v>
      </c>
      <c r="H15" s="28">
        <v>0</v>
      </c>
      <c r="I15" s="28">
        <v>0</v>
      </c>
      <c r="M15" s="14"/>
      <c r="N15" s="14"/>
      <c r="O15" s="88"/>
      <c r="R15" s="237"/>
      <c r="S15" s="237"/>
      <c r="T15" s="237"/>
      <c r="U15" s="237"/>
    </row>
    <row r="16" spans="1:34">
      <c r="C16" t="s">
        <v>247</v>
      </c>
      <c r="D16" s="28">
        <v>1</v>
      </c>
      <c r="E16" s="28">
        <v>0.5</v>
      </c>
      <c r="F16" s="28">
        <v>0</v>
      </c>
      <c r="G16" s="28">
        <v>0</v>
      </c>
      <c r="H16" s="28">
        <v>0</v>
      </c>
      <c r="I16" s="28">
        <v>0</v>
      </c>
      <c r="M16" s="14"/>
      <c r="N16" s="14"/>
      <c r="O16" s="88"/>
      <c r="R16" s="237"/>
      <c r="S16" s="237"/>
      <c r="T16" s="237"/>
      <c r="U16" s="237"/>
    </row>
    <row r="17" spans="1:35">
      <c r="C17" t="s">
        <v>629</v>
      </c>
      <c r="D17" s="28">
        <v>1</v>
      </c>
      <c r="E17" s="28">
        <v>0.5</v>
      </c>
      <c r="F17" s="28">
        <v>0</v>
      </c>
      <c r="G17" s="28">
        <v>0</v>
      </c>
      <c r="H17" s="28">
        <v>0</v>
      </c>
      <c r="I17" s="28">
        <v>0</v>
      </c>
      <c r="M17" s="14"/>
      <c r="N17" s="14"/>
      <c r="O17" s="88"/>
      <c r="R17" s="237"/>
      <c r="S17" s="237"/>
      <c r="T17" s="237"/>
      <c r="U17" s="237"/>
    </row>
    <row r="18" spans="1:35">
      <c r="C18" t="s">
        <v>630</v>
      </c>
      <c r="D18" s="28">
        <v>1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M18" s="14"/>
      <c r="N18" s="14"/>
      <c r="O18" s="14"/>
      <c r="R18" s="237"/>
      <c r="S18" s="237"/>
      <c r="T18" s="237"/>
      <c r="U18" s="237"/>
    </row>
    <row r="19" spans="1:35">
      <c r="L19"/>
      <c r="M19" s="89"/>
      <c r="N19" s="89"/>
      <c r="O19" s="89"/>
      <c r="P19" s="93"/>
      <c r="S19" s="6"/>
      <c r="T19" s="6"/>
      <c r="U19" s="6"/>
      <c r="V19" s="6"/>
    </row>
    <row r="20" spans="1:35">
      <c r="L20"/>
      <c r="M20" s="14"/>
      <c r="N20" s="14"/>
      <c r="O20" s="14"/>
      <c r="P20" s="341"/>
      <c r="S20" s="6"/>
      <c r="T20" s="6"/>
      <c r="U20" s="6"/>
      <c r="V20" s="6"/>
    </row>
    <row r="21" spans="1:35">
      <c r="A21" s="31" t="s">
        <v>632</v>
      </c>
      <c r="B21" s="20"/>
      <c r="C21" s="20"/>
      <c r="D21" s="31">
        <v>2024</v>
      </c>
      <c r="E21" s="31">
        <v>2025</v>
      </c>
      <c r="F21" s="31">
        <v>2026</v>
      </c>
      <c r="G21" s="31">
        <v>2027</v>
      </c>
      <c r="H21" s="31">
        <v>2028</v>
      </c>
      <c r="I21" s="31">
        <v>2029</v>
      </c>
      <c r="J21" s="31">
        <v>2030</v>
      </c>
      <c r="K21" s="31">
        <v>2031</v>
      </c>
      <c r="L21" s="31">
        <v>2032</v>
      </c>
      <c r="M21" s="31">
        <v>2033</v>
      </c>
      <c r="N21" s="31">
        <v>2034</v>
      </c>
      <c r="O21" s="31">
        <v>2035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625"/>
      <c r="AF21" s="625"/>
      <c r="AG21" s="625"/>
      <c r="AH21" s="625"/>
      <c r="AI21" s="625"/>
    </row>
    <row r="22" spans="1:35" ht="15.75" thickBot="1">
      <c r="C22" t="s">
        <v>628</v>
      </c>
      <c r="D22" s="141">
        <f>'ERP2 summary'!D60+'ERP2 summary'!D61</f>
        <v>19383.032995240384</v>
      </c>
      <c r="E22" s="141">
        <f>'ERP2 summary'!E60+'ERP2 summary'!E61</f>
        <v>19183.565985087182</v>
      </c>
      <c r="F22" s="141">
        <f>'ERP2 summary'!F60+'ERP2 summary'!F61</f>
        <v>19028.486647161179</v>
      </c>
      <c r="G22" s="141">
        <f>'ERP2 summary'!G60+'ERP2 summary'!G61</f>
        <v>18881.395253895065</v>
      </c>
      <c r="H22" s="141">
        <f>'ERP2 summary'!H60+'ERP2 summary'!H61</f>
        <v>18420.916539852882</v>
      </c>
      <c r="I22" s="141">
        <f>'ERP2 summary'!I60+'ERP2 summary'!I61</f>
        <v>18070.605040877061</v>
      </c>
      <c r="J22" s="141">
        <f>'ERP2 summary'!J60+'ERP2 summary'!J61</f>
        <v>17487.353032286523</v>
      </c>
      <c r="K22" s="141">
        <f>'ERP2 summary'!K60+'ERP2 summary'!K61</f>
        <v>17251.866662511911</v>
      </c>
      <c r="L22" s="141">
        <f>'ERP2 summary'!L60+'ERP2 summary'!L61</f>
        <v>16996.564499861157</v>
      </c>
      <c r="M22" s="141">
        <f>'ERP2 summary'!M60+'ERP2 summary'!M61</f>
        <v>16702.974842363095</v>
      </c>
      <c r="N22" s="141">
        <f>'ERP2 summary'!N60+'ERP2 summary'!N61</f>
        <v>16359.47818552599</v>
      </c>
      <c r="O22" s="141">
        <f>'ERP2 summary'!O60+'ERP2 summary'!O61</f>
        <v>16018.729043066298</v>
      </c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7"/>
      <c r="AF22" s="627"/>
      <c r="AG22" s="627"/>
      <c r="AH22" s="627"/>
      <c r="AI22" s="627"/>
    </row>
    <row r="23" spans="1:35" ht="16.5" thickTop="1" thickBot="1">
      <c r="C23" t="s">
        <v>247</v>
      </c>
      <c r="D23" s="141">
        <f>'ERP2 summary'!D4-'ERP2 summary'!D61-'ERP2 summary'!D33</f>
        <v>10350.963650167392</v>
      </c>
      <c r="E23" s="141">
        <f>'ERP2 summary'!E4-'ERP2 summary'!E61-'ERP2 summary'!E33</f>
        <v>9954.9109514979318</v>
      </c>
      <c r="F23" s="141">
        <f>'ERP2 summary'!F4-'ERP2 summary'!F61-'ERP2 summary'!F33</f>
        <v>9742.714192217376</v>
      </c>
      <c r="G23" s="141">
        <f>'ERP2 summary'!G4-'ERP2 summary'!G61-'ERP2 summary'!G33</f>
        <v>9655.8145018636587</v>
      </c>
      <c r="H23" s="141">
        <f>'ERP2 summary'!H4-'ERP2 summary'!H61-'ERP2 summary'!H33</f>
        <v>9039.8635533926608</v>
      </c>
      <c r="I23" s="141">
        <f>'ERP2 summary'!I4-'ERP2 summary'!I61-'ERP2 summary'!I33</f>
        <v>8628.4606026839319</v>
      </c>
      <c r="J23" s="141">
        <f>'ERP2 summary'!J4-'ERP2 summary'!J61-'ERP2 summary'!J33</f>
        <v>7764.8121995351248</v>
      </c>
      <c r="K23" s="141">
        <f>'ERP2 summary'!K4-'ERP2 summary'!K61-'ERP2 summary'!K33</f>
        <v>7662.5771851981699</v>
      </c>
      <c r="L23" s="141">
        <f>'ERP2 summary'!L4-'ERP2 summary'!L61-'ERP2 summary'!L33</f>
        <v>7554.3216332738502</v>
      </c>
      <c r="M23" s="141">
        <f>'ERP2 summary'!M4-'ERP2 summary'!M61-'ERP2 summary'!M33</f>
        <v>7427.601829572618</v>
      </c>
      <c r="N23" s="141">
        <f>'ERP2 summary'!N4-'ERP2 summary'!N61-'ERP2 summary'!N33</f>
        <v>7294.3583314602938</v>
      </c>
      <c r="O23" s="141">
        <f>'ERP2 summary'!O4-'ERP2 summary'!O61-'ERP2 summary'!O33</f>
        <v>7158.3968561985357</v>
      </c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7"/>
      <c r="AF23" s="627"/>
      <c r="AG23" s="627"/>
      <c r="AH23" s="627"/>
      <c r="AI23" s="627"/>
    </row>
    <row r="24" spans="1:35" ht="16.5" thickTop="1" thickBot="1">
      <c r="C24" t="s">
        <v>629</v>
      </c>
      <c r="D24" s="141">
        <f>'ERP2 summary'!D5-'ERP2 summary'!D21-'ERP2 summary'!D29</f>
        <v>3464.9048477250667</v>
      </c>
      <c r="E24" s="141">
        <f>'ERP2 summary'!E5-'ERP2 summary'!E21-'ERP2 summary'!E29</f>
        <v>3428.4367983520306</v>
      </c>
      <c r="F24" s="141">
        <f>'ERP2 summary'!F5-'ERP2 summary'!F21-'ERP2 summary'!F29</f>
        <v>2516.4944000579312</v>
      </c>
      <c r="G24" s="141">
        <f>'ERP2 summary'!G5-'ERP2 summary'!G21-'ERP2 summary'!G29</f>
        <v>2494.3904231968631</v>
      </c>
      <c r="H24" s="141">
        <f>'ERP2 summary'!H5-'ERP2 summary'!H21-'ERP2 summary'!H29</f>
        <v>2411.4132751432921</v>
      </c>
      <c r="I24" s="141">
        <f>'ERP2 summary'!I5-'ERP2 summary'!I21-'ERP2 summary'!I29</f>
        <v>2392.9560400186765</v>
      </c>
      <c r="J24" s="141">
        <f>'ERP2 summary'!J5-'ERP2 summary'!J21-'ERP2 summary'!J29</f>
        <v>2347.2330066318405</v>
      </c>
      <c r="K24" s="141">
        <f>'ERP2 summary'!K5-'ERP2 summary'!K21-'ERP2 summary'!K29</f>
        <v>2347.9582452269774</v>
      </c>
      <c r="L24" s="141">
        <f>'ERP2 summary'!L5-'ERP2 summary'!L21-'ERP2 summary'!L29</f>
        <v>2324.4007239285565</v>
      </c>
      <c r="M24" s="141">
        <f>'ERP2 summary'!M5-'ERP2 summary'!M21-'ERP2 summary'!M29</f>
        <v>2325.1109635046678</v>
      </c>
      <c r="N24" s="141">
        <f>'ERP2 summary'!N5-'ERP2 summary'!N21-'ERP2 summary'!N29</f>
        <v>2308.8140121991382</v>
      </c>
      <c r="O24" s="141">
        <f>'ERP2 summary'!O5-'ERP2 summary'!O21-'ERP2 summary'!O29</f>
        <v>2303.0677485057477</v>
      </c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7"/>
      <c r="AF24" s="627"/>
      <c r="AG24" s="627"/>
      <c r="AH24" s="627"/>
      <c r="AI24" s="627"/>
    </row>
    <row r="25" spans="1:35" ht="16.5" thickTop="1" thickBot="1">
      <c r="C25" t="s">
        <v>630</v>
      </c>
      <c r="D25" s="141">
        <f>'ERP2 summary'!D17</f>
        <v>1038.3705011489074</v>
      </c>
      <c r="E25" s="141">
        <f>'ERP2 summary'!E17</f>
        <v>991.3836174672939</v>
      </c>
      <c r="F25" s="141">
        <f>'ERP2 summary'!F17</f>
        <v>950.44802471683113</v>
      </c>
      <c r="G25" s="141">
        <f>'ERP2 summary'!G17</f>
        <v>784.73882034762119</v>
      </c>
      <c r="H25" s="141">
        <f>'ERP2 summary'!H17</f>
        <v>720.44388940581518</v>
      </c>
      <c r="I25" s="141">
        <f>'ERP2 summary'!I17</f>
        <v>678.19315873708899</v>
      </c>
      <c r="J25" s="141">
        <f>'ERP2 summary'!J17</f>
        <v>623.52909549173467</v>
      </c>
      <c r="K25" s="141">
        <f>'ERP2 summary'!K17</f>
        <v>599.80833509566662</v>
      </c>
      <c r="L25" s="141">
        <f>'ERP2 summary'!L17</f>
        <v>610.71302412299656</v>
      </c>
      <c r="M25" s="141">
        <f>'ERP2 summary'!M17</f>
        <v>613.28371092513362</v>
      </c>
      <c r="N25" s="141">
        <f>'ERP2 summary'!N17</f>
        <v>612.12791323828844</v>
      </c>
      <c r="O25" s="141">
        <f>'ERP2 summary'!O17</f>
        <v>609.4243299973989</v>
      </c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7"/>
      <c r="AF25" s="627"/>
      <c r="AG25" s="627"/>
      <c r="AH25" s="627"/>
      <c r="AI25" s="627"/>
    </row>
    <row r="26" spans="1:35" ht="15.75" thickTop="1">
      <c r="C26" s="1" t="s">
        <v>150</v>
      </c>
      <c r="D26" s="85">
        <f>SUM(D22:D25)</f>
        <v>34237.271994281749</v>
      </c>
      <c r="E26" s="85">
        <f>SUM(E22:E25)</f>
        <v>33558.297352404436</v>
      </c>
      <c r="F26" s="85">
        <f t="shared" ref="F26:J26" si="0">SUM(F22:F25)</f>
        <v>32238.143264153317</v>
      </c>
      <c r="G26" s="85">
        <f t="shared" si="0"/>
        <v>31816.338999303211</v>
      </c>
      <c r="H26" s="85">
        <f t="shared" si="0"/>
        <v>30592.637257794649</v>
      </c>
      <c r="I26" s="85">
        <f t="shared" si="0"/>
        <v>29770.214842316756</v>
      </c>
      <c r="J26" s="85">
        <f t="shared" si="0"/>
        <v>28222.927333945223</v>
      </c>
      <c r="K26" s="85">
        <f>SUM(K22:K25)</f>
        <v>27862.210428032726</v>
      </c>
      <c r="L26" s="85">
        <f t="shared" ref="L26:O26" si="1">SUM(L22:L25)</f>
        <v>27485.999881186559</v>
      </c>
      <c r="M26" s="85">
        <f t="shared" si="1"/>
        <v>27068.971346365513</v>
      </c>
      <c r="N26" s="85">
        <f t="shared" si="1"/>
        <v>26574.778442423711</v>
      </c>
      <c r="O26" s="592">
        <f t="shared" si="1"/>
        <v>26089.617977767983</v>
      </c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627"/>
      <c r="AF26" s="627"/>
      <c r="AG26" s="627"/>
      <c r="AH26" s="627"/>
      <c r="AI26" s="627"/>
    </row>
    <row r="27" spans="1:35" s="17" customFormat="1">
      <c r="C27" s="336" t="s">
        <v>633</v>
      </c>
      <c r="D27" s="337">
        <f>'2. NZ ETS cap'!C29</f>
        <v>34237.271994281757</v>
      </c>
      <c r="E27" s="337">
        <f>'2. NZ ETS cap'!D29</f>
        <v>33558.297352404436</v>
      </c>
      <c r="F27" s="337">
        <f>'2. NZ ETS cap'!E29</f>
        <v>32238.143264153317</v>
      </c>
      <c r="G27" s="337">
        <f>'2. NZ ETS cap'!F29</f>
        <v>31816.338999303207</v>
      </c>
      <c r="H27" s="337">
        <f>'2. NZ ETS cap'!G29</f>
        <v>30592.637257794649</v>
      </c>
      <c r="I27" s="337">
        <f>'2. NZ ETS cap'!H29</f>
        <v>29770.214842316756</v>
      </c>
      <c r="J27" s="337">
        <f>'2. NZ ETS cap'!I29</f>
        <v>28222.927333945223</v>
      </c>
      <c r="K27" s="337">
        <f>'2. NZ ETS cap'!J29</f>
        <v>25634.876384751726</v>
      </c>
      <c r="L27" s="337">
        <f>'2. NZ ETS cap'!K29</f>
        <v>25323.961567253682</v>
      </c>
      <c r="M27" s="337">
        <f>'2. NZ ETS cap'!L29</f>
        <v>24988.091307190683</v>
      </c>
      <c r="N27" s="337">
        <f>'2. NZ ETS cap'!M29</f>
        <v>24583.617079357457</v>
      </c>
      <c r="O27" s="337">
        <f>'2. NZ ETS cap'!N29</f>
        <v>24185.855615110933</v>
      </c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</row>
    <row r="28" spans="1:35" s="17" customFormat="1">
      <c r="C28" s="336" t="s">
        <v>634</v>
      </c>
      <c r="D28" s="338">
        <f>D26-D27</f>
        <v>0</v>
      </c>
      <c r="E28" s="338">
        <f t="shared" ref="E28:O28" si="2">E26-E27</f>
        <v>0</v>
      </c>
      <c r="F28" s="338">
        <f t="shared" si="2"/>
        <v>0</v>
      </c>
      <c r="G28" s="338">
        <f t="shared" si="2"/>
        <v>0</v>
      </c>
      <c r="H28" s="338">
        <f t="shared" si="2"/>
        <v>0</v>
      </c>
      <c r="I28" s="338">
        <f t="shared" si="2"/>
        <v>0</v>
      </c>
      <c r="J28" s="338">
        <f t="shared" si="2"/>
        <v>0</v>
      </c>
      <c r="K28" s="339">
        <f>K26-K27</f>
        <v>2227.334043281</v>
      </c>
      <c r="L28" s="339">
        <f t="shared" si="2"/>
        <v>2162.0383139328769</v>
      </c>
      <c r="M28" s="339">
        <f t="shared" si="2"/>
        <v>2080.88003917483</v>
      </c>
      <c r="N28" s="339">
        <f t="shared" si="2"/>
        <v>1991.1613630662541</v>
      </c>
      <c r="O28" s="339">
        <f t="shared" si="2"/>
        <v>1903.7623626570494</v>
      </c>
      <c r="P28" s="622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623"/>
      <c r="AI28" s="623"/>
    </row>
    <row r="29" spans="1:35" s="17" customFormat="1">
      <c r="C29" s="334"/>
      <c r="D29" s="331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624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  <c r="AB29" s="624"/>
      <c r="AC29" s="624"/>
      <c r="AD29" s="624"/>
      <c r="AE29" s="624"/>
      <c r="AF29" s="624"/>
      <c r="AG29" s="624"/>
      <c r="AH29" s="624"/>
      <c r="AI29" s="624"/>
    </row>
    <row r="30" spans="1:35">
      <c r="A30" s="157"/>
      <c r="B30" s="158" t="s">
        <v>635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35">
      <c r="C31" t="s">
        <v>628</v>
      </c>
      <c r="D31" s="33">
        <f t="shared" ref="D31:O35" si="3">D22/D$26</f>
        <v>0.5661383593435162</v>
      </c>
      <c r="E31" s="33">
        <f t="shared" si="3"/>
        <v>0.57164896608536331</v>
      </c>
      <c r="F31" s="33">
        <f t="shared" si="3"/>
        <v>0.59024759866737109</v>
      </c>
      <c r="G31" s="33">
        <f t="shared" si="3"/>
        <v>0.5934496503293033</v>
      </c>
      <c r="H31" s="33">
        <f t="shared" si="3"/>
        <v>0.60213561794707471</v>
      </c>
      <c r="I31" s="33">
        <f t="shared" si="3"/>
        <v>0.60700284282767991</v>
      </c>
      <c r="J31" s="33">
        <f t="shared" si="3"/>
        <v>0.61961513862006612</v>
      </c>
      <c r="K31" s="33">
        <f t="shared" si="3"/>
        <v>0.61918513992538304</v>
      </c>
      <c r="L31" s="33">
        <f t="shared" si="3"/>
        <v>0.61837170098712169</v>
      </c>
      <c r="M31" s="33">
        <f t="shared" si="3"/>
        <v>0.61705244091611056</v>
      </c>
      <c r="N31" s="33">
        <f t="shared" si="3"/>
        <v>0.61560167739385108</v>
      </c>
      <c r="O31" s="33">
        <f t="shared" si="3"/>
        <v>0.61398863933985171</v>
      </c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628"/>
      <c r="AF31" s="628"/>
      <c r="AG31" s="628"/>
      <c r="AH31" s="628"/>
      <c r="AI31" s="628"/>
    </row>
    <row r="32" spans="1:35">
      <c r="C32" t="s">
        <v>247</v>
      </c>
      <c r="D32" s="33">
        <f>D23/D$26</f>
        <v>0.3023302689506393</v>
      </c>
      <c r="E32" s="33">
        <f t="shared" si="3"/>
        <v>0.29664529302422038</v>
      </c>
      <c r="F32" s="33">
        <f t="shared" si="3"/>
        <v>0.30221077288438725</v>
      </c>
      <c r="G32" s="33">
        <f t="shared" si="3"/>
        <v>0.30348603282342212</v>
      </c>
      <c r="H32" s="33">
        <f t="shared" si="3"/>
        <v>0.29549147650189617</v>
      </c>
      <c r="I32" s="33">
        <f t="shared" si="3"/>
        <v>0.28983534880033984</v>
      </c>
      <c r="J32" s="33">
        <f t="shared" si="3"/>
        <v>0.27512426714843186</v>
      </c>
      <c r="K32" s="33">
        <f t="shared" si="3"/>
        <v>0.27501684423030193</v>
      </c>
      <c r="L32" s="33">
        <f t="shared" si="3"/>
        <v>0.27484252586512536</v>
      </c>
      <c r="M32" s="33">
        <f t="shared" si="3"/>
        <v>0.27439542251279175</v>
      </c>
      <c r="N32" s="33">
        <f t="shared" si="3"/>
        <v>0.27448425759274264</v>
      </c>
      <c r="O32" s="33">
        <f t="shared" si="3"/>
        <v>0.27437722017618255</v>
      </c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628"/>
      <c r="AF32" s="628"/>
      <c r="AG32" s="628"/>
      <c r="AH32" s="628"/>
      <c r="AI32" s="628"/>
    </row>
    <row r="33" spans="1:35">
      <c r="C33" t="s">
        <v>629</v>
      </c>
      <c r="D33" s="33">
        <f t="shared" si="3"/>
        <v>0.10120271405688425</v>
      </c>
      <c r="E33" s="33">
        <f t="shared" si="3"/>
        <v>0.10216360986223828</v>
      </c>
      <c r="F33" s="33">
        <f t="shared" si="3"/>
        <v>7.8059532754049962E-2</v>
      </c>
      <c r="G33" s="33">
        <f t="shared" si="3"/>
        <v>7.8399668272691306E-2</v>
      </c>
      <c r="H33" s="33">
        <f t="shared" si="3"/>
        <v>7.8823321272470284E-2</v>
      </c>
      <c r="I33" s="33">
        <f t="shared" si="3"/>
        <v>8.0380879099912247E-2</v>
      </c>
      <c r="J33" s="33">
        <f t="shared" si="3"/>
        <v>8.3167595581366147E-2</v>
      </c>
      <c r="K33" s="33">
        <f t="shared" si="3"/>
        <v>8.4270350742331981E-2</v>
      </c>
      <c r="L33" s="33">
        <f t="shared" si="3"/>
        <v>8.456671519960049E-2</v>
      </c>
      <c r="M33" s="33">
        <f t="shared" si="3"/>
        <v>8.5895800536833294E-2</v>
      </c>
      <c r="N33" s="33">
        <f t="shared" si="3"/>
        <v>8.6879896936915585E-2</v>
      </c>
      <c r="O33" s="33">
        <f t="shared" si="3"/>
        <v>8.8275257631916446E-2</v>
      </c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628"/>
      <c r="AF33" s="628"/>
      <c r="AG33" s="628"/>
      <c r="AH33" s="628"/>
      <c r="AI33" s="628"/>
    </row>
    <row r="34" spans="1:35">
      <c r="C34" t="s">
        <v>630</v>
      </c>
      <c r="D34" s="33">
        <f t="shared" si="3"/>
        <v>3.0328657648960297E-2</v>
      </c>
      <c r="E34" s="33">
        <f t="shared" si="3"/>
        <v>2.9542131028178095E-2</v>
      </c>
      <c r="F34" s="33">
        <f t="shared" si="3"/>
        <v>2.9482095694191746E-2</v>
      </c>
      <c r="G34" s="33">
        <f t="shared" si="3"/>
        <v>2.4664648574583243E-2</v>
      </c>
      <c r="H34" s="33">
        <f t="shared" si="3"/>
        <v>2.3549584278558869E-2</v>
      </c>
      <c r="I34" s="33">
        <f t="shared" si="3"/>
        <v>2.2780929272068064E-2</v>
      </c>
      <c r="J34" s="33">
        <f t="shared" si="3"/>
        <v>2.2092998650135875E-2</v>
      </c>
      <c r="K34" s="33">
        <f t="shared" si="3"/>
        <v>2.1527665101982989E-2</v>
      </c>
      <c r="L34" s="33">
        <f t="shared" si="3"/>
        <v>2.2219057948152487E-2</v>
      </c>
      <c r="M34" s="33">
        <f t="shared" si="3"/>
        <v>2.2656336034264479E-2</v>
      </c>
      <c r="N34" s="33">
        <f t="shared" si="3"/>
        <v>2.3034168076490662E-2</v>
      </c>
      <c r="O34" s="33">
        <f t="shared" si="3"/>
        <v>2.3358882852049193E-2</v>
      </c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628"/>
      <c r="AF34" s="628"/>
      <c r="AG34" s="628"/>
      <c r="AH34" s="628"/>
      <c r="AI34" s="628"/>
    </row>
    <row r="35" spans="1:35">
      <c r="C35" s="1" t="s">
        <v>150</v>
      </c>
      <c r="D35" s="33">
        <f t="shared" si="3"/>
        <v>1</v>
      </c>
      <c r="E35" s="33">
        <f t="shared" si="3"/>
        <v>1</v>
      </c>
      <c r="F35" s="33">
        <f t="shared" si="3"/>
        <v>1</v>
      </c>
      <c r="G35" s="33">
        <f t="shared" si="3"/>
        <v>1</v>
      </c>
      <c r="H35" s="33">
        <f t="shared" si="3"/>
        <v>1</v>
      </c>
      <c r="I35" s="33">
        <f t="shared" si="3"/>
        <v>1</v>
      </c>
      <c r="J35" s="33">
        <f t="shared" si="3"/>
        <v>1</v>
      </c>
      <c r="K35" s="33">
        <f t="shared" si="3"/>
        <v>1</v>
      </c>
      <c r="L35" s="33">
        <f t="shared" si="3"/>
        <v>1</v>
      </c>
      <c r="M35" s="33">
        <f t="shared" si="3"/>
        <v>1</v>
      </c>
      <c r="N35" s="33">
        <f t="shared" si="3"/>
        <v>1</v>
      </c>
      <c r="O35" s="33">
        <f t="shared" si="3"/>
        <v>1</v>
      </c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628"/>
      <c r="AF35" s="628"/>
      <c r="AG35" s="628"/>
      <c r="AH35" s="628"/>
      <c r="AI35" s="628"/>
    </row>
    <row r="36" spans="1:35">
      <c r="C36" s="1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</row>
    <row r="37" spans="1:35">
      <c r="A37" s="146"/>
      <c r="B37" s="148" t="s">
        <v>636</v>
      </c>
      <c r="C37" s="148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</row>
    <row r="38" spans="1:35">
      <c r="C38" t="s">
        <v>628</v>
      </c>
      <c r="D38" s="14">
        <f>D22-(D$28*D31)</f>
        <v>19383.032995240384</v>
      </c>
      <c r="E38" s="14">
        <f>E22-(E$28*E31)</f>
        <v>19183.565985087182</v>
      </c>
      <c r="F38" s="14">
        <f t="shared" ref="D38:O41" si="4">F22-(F$28*F31)</f>
        <v>19028.486647161179</v>
      </c>
      <c r="G38" s="14">
        <f t="shared" si="4"/>
        <v>18881.395253895065</v>
      </c>
      <c r="H38" s="14">
        <f t="shared" si="4"/>
        <v>18420.916539852882</v>
      </c>
      <c r="I38" s="14">
        <f>I22-(I$28*I31)</f>
        <v>18070.605040877061</v>
      </c>
      <c r="J38" s="14">
        <f t="shared" si="4"/>
        <v>17487.353032286523</v>
      </c>
      <c r="K38" s="14">
        <f>K22-(K$28*K31)</f>
        <v>15872.734521262397</v>
      </c>
      <c r="L38" s="14">
        <f>L22-(L$28*L31)</f>
        <v>15659.621190075155</v>
      </c>
      <c r="M38" s="14">
        <f t="shared" si="4"/>
        <v>15418.962734936655</v>
      </c>
      <c r="N38" s="14">
        <f t="shared" si="4"/>
        <v>15133.715910460576</v>
      </c>
      <c r="O38" s="14">
        <f t="shared" si="4"/>
        <v>14849.840580392074</v>
      </c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627"/>
      <c r="AF38" s="627"/>
      <c r="AG38" s="627"/>
      <c r="AH38" s="627"/>
      <c r="AI38" s="627"/>
    </row>
    <row r="39" spans="1:35">
      <c r="C39" t="s">
        <v>247</v>
      </c>
      <c r="D39" s="14">
        <f t="shared" si="4"/>
        <v>10350.963650167392</v>
      </c>
      <c r="E39" s="14">
        <f t="shared" si="4"/>
        <v>9954.9109514979318</v>
      </c>
      <c r="F39" s="14">
        <f t="shared" si="4"/>
        <v>9742.714192217376</v>
      </c>
      <c r="G39" s="14">
        <f t="shared" si="4"/>
        <v>9655.8145018636587</v>
      </c>
      <c r="H39" s="14">
        <f t="shared" si="4"/>
        <v>9039.8635533926608</v>
      </c>
      <c r="I39" s="14">
        <f t="shared" si="4"/>
        <v>8628.4606026839319</v>
      </c>
      <c r="J39" s="14">
        <f t="shared" si="4"/>
        <v>7764.8121995351248</v>
      </c>
      <c r="K39" s="88">
        <f>K23-(K$28*K32)</f>
        <v>7050.022805568311</v>
      </c>
      <c r="L39" s="88">
        <f t="shared" si="4"/>
        <v>6960.1015620553617</v>
      </c>
      <c r="M39" s="88">
        <f t="shared" si="4"/>
        <v>6856.6178720248063</v>
      </c>
      <c r="N39" s="88">
        <f t="shared" si="4"/>
        <v>6747.8158829716995</v>
      </c>
      <c r="O39" s="88">
        <f t="shared" si="4"/>
        <v>6636.0478312566529</v>
      </c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627"/>
      <c r="AF39" s="627"/>
      <c r="AG39" s="627"/>
      <c r="AH39" s="627"/>
      <c r="AI39" s="627"/>
    </row>
    <row r="40" spans="1:35">
      <c r="C40" t="s">
        <v>629</v>
      </c>
      <c r="D40" s="14">
        <f t="shared" si="4"/>
        <v>3464.9048477250667</v>
      </c>
      <c r="E40" s="14">
        <f t="shared" si="4"/>
        <v>3428.4367983520306</v>
      </c>
      <c r="F40" s="14">
        <f t="shared" si="4"/>
        <v>2516.4944000579312</v>
      </c>
      <c r="G40" s="14">
        <f t="shared" si="4"/>
        <v>2494.3904231968631</v>
      </c>
      <c r="H40" s="14">
        <f t="shared" si="4"/>
        <v>2411.4132751432921</v>
      </c>
      <c r="I40" s="14">
        <f t="shared" si="4"/>
        <v>2392.9560400186765</v>
      </c>
      <c r="J40" s="14">
        <f t="shared" si="4"/>
        <v>2347.2330066318405</v>
      </c>
      <c r="K40" s="14">
        <f>K24-(K$28*K33)</f>
        <v>2160.2600241793511</v>
      </c>
      <c r="L40" s="14">
        <f t="shared" si="4"/>
        <v>2141.5642455835705</v>
      </c>
      <c r="M40" s="14">
        <f t="shared" si="4"/>
        <v>2146.3721067186289</v>
      </c>
      <c r="N40" s="14">
        <f t="shared" si="4"/>
        <v>2135.8221181911736</v>
      </c>
      <c r="O40" s="14">
        <f t="shared" si="4"/>
        <v>2135.0126354722506</v>
      </c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627"/>
      <c r="AF40" s="627"/>
      <c r="AG40" s="627"/>
      <c r="AH40" s="627"/>
      <c r="AI40" s="627"/>
    </row>
    <row r="41" spans="1:35">
      <c r="C41" t="s">
        <v>630</v>
      </c>
      <c r="D41" s="14">
        <f t="shared" si="4"/>
        <v>1038.3705011489074</v>
      </c>
      <c r="E41" s="14">
        <f t="shared" si="4"/>
        <v>991.3836174672939</v>
      </c>
      <c r="F41" s="14">
        <f t="shared" si="4"/>
        <v>950.44802471683113</v>
      </c>
      <c r="G41" s="14">
        <f t="shared" si="4"/>
        <v>784.73882034762119</v>
      </c>
      <c r="H41" s="14">
        <f t="shared" si="4"/>
        <v>720.44388940581518</v>
      </c>
      <c r="I41" s="14">
        <f t="shared" si="4"/>
        <v>678.19315873708899</v>
      </c>
      <c r="J41" s="14">
        <f t="shared" si="4"/>
        <v>623.52909549173467</v>
      </c>
      <c r="K41" s="14">
        <f>K25-(K$28*K34)</f>
        <v>551.85903374166753</v>
      </c>
      <c r="L41" s="14">
        <f t="shared" si="4"/>
        <v>562.67456953959606</v>
      </c>
      <c r="M41" s="14">
        <f t="shared" si="4"/>
        <v>566.13859351059523</v>
      </c>
      <c r="N41" s="14">
        <f t="shared" si="4"/>
        <v>566.26316773400606</v>
      </c>
      <c r="O41" s="14">
        <f t="shared" si="4"/>
        <v>564.95456798995247</v>
      </c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627"/>
      <c r="AF41" s="627"/>
      <c r="AG41" s="627"/>
      <c r="AH41" s="627"/>
      <c r="AI41" s="627"/>
    </row>
    <row r="42" spans="1:35">
      <c r="C42" s="1" t="s">
        <v>150</v>
      </c>
      <c r="D42" s="14">
        <f>SUM(D38:D41)</f>
        <v>34237.271994281749</v>
      </c>
      <c r="E42" s="14">
        <f>SUM(E38:E41)</f>
        <v>33558.297352404436</v>
      </c>
      <c r="F42" s="14">
        <f t="shared" ref="F42:O42" si="5">SUM(F38:F41)</f>
        <v>32238.143264153317</v>
      </c>
      <c r="G42" s="14">
        <f t="shared" si="5"/>
        <v>31816.338999303211</v>
      </c>
      <c r="H42" s="14">
        <f t="shared" si="5"/>
        <v>30592.637257794649</v>
      </c>
      <c r="I42" s="14">
        <f t="shared" si="5"/>
        <v>29770.214842316756</v>
      </c>
      <c r="J42" s="14">
        <f t="shared" si="5"/>
        <v>28222.927333945223</v>
      </c>
      <c r="K42" s="14">
        <f t="shared" si="5"/>
        <v>25634.876384751729</v>
      </c>
      <c r="L42" s="14">
        <f t="shared" si="5"/>
        <v>25323.961567253682</v>
      </c>
      <c r="M42" s="14">
        <f t="shared" si="5"/>
        <v>24988.091307190683</v>
      </c>
      <c r="N42" s="14">
        <f t="shared" si="5"/>
        <v>24583.617079357453</v>
      </c>
      <c r="O42" s="14">
        <f t="shared" si="5"/>
        <v>24185.85561511093</v>
      </c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627"/>
      <c r="AF42" s="627"/>
      <c r="AG42" s="627"/>
      <c r="AH42" s="627"/>
      <c r="AI42" s="627"/>
    </row>
    <row r="43" spans="1:35" s="17" customFormat="1">
      <c r="C43" s="340" t="s">
        <v>637</v>
      </c>
      <c r="D43" s="337">
        <f>D27-D42</f>
        <v>0</v>
      </c>
      <c r="E43" s="337">
        <f t="shared" ref="E43:O43" si="6">E27-E42</f>
        <v>0</v>
      </c>
      <c r="F43" s="337">
        <f t="shared" si="6"/>
        <v>0</v>
      </c>
      <c r="G43" s="337">
        <f t="shared" si="6"/>
        <v>0</v>
      </c>
      <c r="H43" s="337">
        <f t="shared" si="6"/>
        <v>0</v>
      </c>
      <c r="I43" s="337">
        <f t="shared" si="6"/>
        <v>0</v>
      </c>
      <c r="J43" s="337">
        <f t="shared" si="6"/>
        <v>0</v>
      </c>
      <c r="K43" s="337">
        <f t="shared" si="6"/>
        <v>0</v>
      </c>
      <c r="L43" s="337">
        <f t="shared" si="6"/>
        <v>0</v>
      </c>
      <c r="M43" s="337">
        <f t="shared" si="6"/>
        <v>0</v>
      </c>
      <c r="N43" s="337">
        <f t="shared" si="6"/>
        <v>0</v>
      </c>
      <c r="O43" s="337">
        <f t="shared" si="6"/>
        <v>0</v>
      </c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</row>
    <row r="44" spans="1:35" s="2" customFormat="1">
      <c r="A44" s="332" t="s">
        <v>638</v>
      </c>
      <c r="B44" s="137"/>
      <c r="C44" s="137"/>
      <c r="D44" s="137"/>
      <c r="E44" s="425">
        <f>E26-E42</f>
        <v>0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</row>
    <row r="45" spans="1:35" s="2" customFormat="1" ht="15.75" thickBot="1">
      <c r="B45" s="394"/>
      <c r="C45" s="2" t="s">
        <v>628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30"/>
      <c r="AF45" s="630"/>
      <c r="AG45" s="630"/>
      <c r="AH45" s="630"/>
      <c r="AI45" s="630"/>
    </row>
    <row r="46" spans="1:35" s="2" customFormat="1" ht="16.5" thickTop="1" thickBot="1">
      <c r="B46" s="394"/>
      <c r="C46" s="2" t="s">
        <v>247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629"/>
      <c r="Q46" s="629"/>
      <c r="R46" s="629"/>
      <c r="S46" s="629"/>
      <c r="T46" s="629"/>
      <c r="U46" s="629"/>
      <c r="V46" s="629"/>
      <c r="W46" s="629"/>
      <c r="X46" s="629"/>
      <c r="Y46" s="629"/>
      <c r="Z46" s="629"/>
      <c r="AA46" s="629"/>
      <c r="AB46" s="629"/>
      <c r="AC46" s="629"/>
      <c r="AD46" s="629"/>
      <c r="AE46" s="630"/>
      <c r="AF46" s="630"/>
      <c r="AG46" s="630"/>
      <c r="AH46" s="630"/>
      <c r="AI46" s="630"/>
    </row>
    <row r="47" spans="1:35" s="2" customFormat="1" ht="16.5" thickTop="1" thickBot="1">
      <c r="C47" t="s">
        <v>629</v>
      </c>
      <c r="D47" s="228">
        <v>0</v>
      </c>
      <c r="E47" s="228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629"/>
      <c r="Q47" s="629"/>
      <c r="R47" s="629"/>
      <c r="S47" s="629"/>
      <c r="T47" s="629"/>
      <c r="U47" s="629"/>
      <c r="V47" s="629"/>
      <c r="W47" s="629"/>
      <c r="X47" s="629"/>
      <c r="Y47" s="629"/>
      <c r="Z47" s="629"/>
      <c r="AA47" s="629"/>
      <c r="AB47" s="629"/>
      <c r="AC47" s="629"/>
      <c r="AD47" s="629"/>
      <c r="AE47" s="630"/>
      <c r="AF47" s="630"/>
      <c r="AG47" s="630"/>
      <c r="AH47" s="630"/>
      <c r="AI47" s="630"/>
    </row>
    <row r="48" spans="1:35" s="2" customFormat="1" ht="16.5" thickTop="1" thickBot="1">
      <c r="B48" s="540"/>
      <c r="C48" s="2" t="s">
        <v>630</v>
      </c>
      <c r="D48" s="228">
        <v>0</v>
      </c>
      <c r="E48" s="228">
        <v>0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629"/>
      <c r="AA48" s="629"/>
      <c r="AB48" s="629"/>
      <c r="AC48" s="629"/>
      <c r="AD48" s="629"/>
      <c r="AE48" s="630"/>
      <c r="AF48" s="630"/>
      <c r="AG48" s="630"/>
      <c r="AH48" s="630"/>
      <c r="AI48" s="630"/>
    </row>
    <row r="49" spans="1:35" s="2" customFormat="1" ht="16.5" thickTop="1" thickBot="1">
      <c r="C49" s="69" t="s">
        <v>150</v>
      </c>
      <c r="D49" s="228">
        <v>0</v>
      </c>
      <c r="E49" s="228">
        <v>0</v>
      </c>
      <c r="F49" s="228">
        <v>0</v>
      </c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630"/>
      <c r="AF49" s="630"/>
      <c r="AG49" s="630"/>
      <c r="AH49" s="630"/>
      <c r="AI49" s="630"/>
    </row>
    <row r="50" spans="1:35" s="2" customFormat="1" ht="15.75" thickTop="1">
      <c r="L50"/>
    </row>
    <row r="51" spans="1:35" s="2" customFormat="1">
      <c r="A51" s="138" t="s">
        <v>639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41"/>
      <c r="M51" s="139"/>
      <c r="N51" s="139"/>
      <c r="O51" s="139"/>
    </row>
    <row r="52" spans="1:35" s="2" customFormat="1" ht="15.75" thickBot="1">
      <c r="C52" s="2" t="s">
        <v>628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631"/>
      <c r="AF52" s="631"/>
      <c r="AG52" s="631"/>
      <c r="AH52" s="631"/>
      <c r="AI52" s="631"/>
    </row>
    <row r="53" spans="1:35" s="2" customFormat="1" ht="16.5" thickTop="1" thickBot="1">
      <c r="B53" s="541">
        <v>0.7</v>
      </c>
      <c r="C53" s="2" t="s">
        <v>247</v>
      </c>
      <c r="D53" s="227">
        <f>('4. Industrial free allocation'!D51+'4. Industrial free allocation'!D53+'4. Industrial free allocation'!D54+'4. Industrial free allocation'!D55+'4. Industrial free allocation'!D56+'4. Industrial free allocation'!D57+'4. Industrial free allocation'!D58+'4. Industrial free allocation'!D59)*$B$53</f>
        <v>2153.3157853664356</v>
      </c>
      <c r="E53" s="227">
        <f>('4. Industrial free allocation'!E51+'4. Industrial free allocation'!E53+'4. Industrial free allocation'!E54+'4. Industrial free allocation'!E55+'4. Industrial free allocation'!E56+'4. Industrial free allocation'!E57+'4. Industrial free allocation'!E58+'4. Industrial free allocation'!E59)*$B$53</f>
        <v>1993.2006555592986</v>
      </c>
      <c r="F53" s="227">
        <f>('4. Industrial free allocation'!F51+'4. Industrial free allocation'!F53+'4. Industrial free allocation'!F54+'4. Industrial free allocation'!F55+'4. Industrial free allocation'!F56+'4. Industrial free allocation'!F57+'4. Industrial free allocation'!F58+'4. Industrial free allocation'!F59)*$B$53</f>
        <v>1689.7433894291337</v>
      </c>
      <c r="G53" s="227">
        <f>('4. Industrial free allocation'!G51+'4. Industrial free allocation'!G53+'4. Industrial free allocation'!G54+'4. Industrial free allocation'!G55+'4. Industrial free allocation'!G56+'4. Industrial free allocation'!G57+'4. Industrial free allocation'!G58+'4. Industrial free allocation'!G59)*$B$53</f>
        <v>1666.2227104548019</v>
      </c>
      <c r="H53" s="227">
        <f>('4. Industrial free allocation'!H51+'4. Industrial free allocation'!H53+'4. Industrial free allocation'!H54+'4. Industrial free allocation'!H55+'4. Industrial free allocation'!H56+'4. Industrial free allocation'!H57+'4. Industrial free allocation'!H58+'4. Industrial free allocation'!H59)*$B$53</f>
        <v>1642.7020314804693</v>
      </c>
      <c r="I53" s="227">
        <f>('4. Industrial free allocation'!I51+'4. Industrial free allocation'!I53+'4. Industrial free allocation'!I54+'4. Industrial free allocation'!I55+'4. Industrial free allocation'!I56+'4. Industrial free allocation'!I57+'4. Industrial free allocation'!I58+'4. Industrial free allocation'!I59)*$B$53</f>
        <v>1619.1813525061377</v>
      </c>
      <c r="J53" s="227">
        <f>('4. Industrial free allocation'!J51+'4. Industrial free allocation'!J53+'4. Industrial free allocation'!J54+'4. Industrial free allocation'!J55+'4. Industrial free allocation'!J56+'4. Industrial free allocation'!J57+'4. Industrial free allocation'!J58+'4. Industrial free allocation'!J59)*$B$53</f>
        <v>1595.6606735318057</v>
      </c>
      <c r="K53" s="227">
        <f>('4. Industrial free allocation'!K51+'4. Industrial free allocation'!K53+'4. Industrial free allocation'!K54+'4. Industrial free allocation'!K55+'4. Industrial free allocation'!K56+'4. Industrial free allocation'!K57+'4. Industrial free allocation'!K58+'4. Industrial free allocation'!K59)*$B$53</f>
        <v>1548.6193155831411</v>
      </c>
      <c r="L53" s="227">
        <f>('4. Industrial free allocation'!L51+'4. Industrial free allocation'!L53+'4. Industrial free allocation'!L54+'4. Industrial free allocation'!L55+'4. Industrial free allocation'!L56+'4. Industrial free allocation'!L57+'4. Industrial free allocation'!L58+'4. Industrial free allocation'!L59)*$B$53</f>
        <v>1501.5779576344771</v>
      </c>
      <c r="M53" s="227">
        <f>('4. Industrial free allocation'!M51+'4. Industrial free allocation'!M53+'4. Industrial free allocation'!M54+'4. Industrial free allocation'!M55+'4. Industrial free allocation'!M56+'4. Industrial free allocation'!M57+'4. Industrial free allocation'!M58+'4. Industrial free allocation'!M59)*$B$53</f>
        <v>1427.3322498054126</v>
      </c>
      <c r="N53" s="227">
        <f>('4. Industrial free allocation'!N51+'4. Industrial free allocation'!N53+'4. Industrial free allocation'!N54+'4. Industrial free allocation'!N55+'4. Industrial free allocation'!N56+'4. Industrial free allocation'!N57+'4. Industrial free allocation'!N58+'4. Industrial free allocation'!N59)*$B$53</f>
        <v>1381.5274532149485</v>
      </c>
      <c r="O53" s="227">
        <f>('4. Industrial free allocation'!O51+'4. Industrial free allocation'!O53+'4. Industrial free allocation'!O54+'4. Industrial free allocation'!O55+'4. Industrial free allocation'!O56+'4. Industrial free allocation'!O57+'4. Industrial free allocation'!O58+'4. Industrial free allocation'!O59)*$B$53</f>
        <v>1335.7226566244842</v>
      </c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631"/>
      <c r="AF53" s="631"/>
      <c r="AG53" s="631"/>
      <c r="AH53" s="631"/>
      <c r="AI53" s="631"/>
    </row>
    <row r="54" spans="1:35" s="2" customFormat="1" ht="16.5" thickTop="1" thickBot="1">
      <c r="C54" t="s">
        <v>629</v>
      </c>
      <c r="D54" s="227">
        <f>'4. Industrial free allocation'!D49+'4. Industrial free allocation'!D50</f>
        <v>1514.7702693607355</v>
      </c>
      <c r="E54" s="227">
        <f>'4. Industrial free allocation'!E49+'4. Industrial free allocation'!E50</f>
        <v>1801.6243265199998</v>
      </c>
      <c r="F54" s="227">
        <f>'4. Industrial free allocation'!F49+'4. Industrial free allocation'!F50</f>
        <v>1780.4287462079999</v>
      </c>
      <c r="G54" s="227">
        <f>'4. Industrial free allocation'!G49+'4. Industrial free allocation'!G50</f>
        <v>1759.2331658959997</v>
      </c>
      <c r="H54" s="227">
        <f>'4. Industrial free allocation'!H49+'4. Industrial free allocation'!H50</f>
        <v>1738.0375855839998</v>
      </c>
      <c r="I54" s="227">
        <f>'4. Industrial free allocation'!I49+'4. Industrial free allocation'!I50</f>
        <v>1716.8420052720001</v>
      </c>
      <c r="J54" s="227">
        <f>'4. Industrial free allocation'!J49+'4. Industrial free allocation'!J50</f>
        <v>1695.6464249600001</v>
      </c>
      <c r="K54" s="227">
        <f>'4. Industrial free allocation'!K49+'4. Industrial free allocation'!K50</f>
        <v>1653.255264336</v>
      </c>
      <c r="L54" s="227">
        <f>'4. Industrial free allocation'!L49+'4. Industrial free allocation'!L50</f>
        <v>1610.8641037120001</v>
      </c>
      <c r="M54" s="227">
        <f>'4. Industrial free allocation'!M49+'4. Industrial free allocation'!M50</f>
        <v>1568.472943088</v>
      </c>
      <c r="N54" s="227">
        <f>'4. Industrial free allocation'!N49+'4. Industrial free allocation'!N50</f>
        <v>1526.0817824639998</v>
      </c>
      <c r="O54" s="227">
        <f>'4. Industrial free allocation'!O49+'4. Industrial free allocation'!O50</f>
        <v>1483.6906218399999</v>
      </c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631"/>
      <c r="AF54" s="631"/>
      <c r="AG54" s="631"/>
      <c r="AH54" s="631"/>
      <c r="AI54" s="631"/>
    </row>
    <row r="55" spans="1:35" s="2" customFormat="1" ht="16.5" thickTop="1" thickBot="1">
      <c r="C55" s="2" t="s">
        <v>630</v>
      </c>
      <c r="D55" s="227">
        <v>0</v>
      </c>
      <c r="E55" s="227">
        <v>0</v>
      </c>
      <c r="F55" s="227">
        <v>0</v>
      </c>
      <c r="G55" s="227">
        <v>0</v>
      </c>
      <c r="H55" s="227">
        <v>0</v>
      </c>
      <c r="I55" s="227">
        <v>0</v>
      </c>
      <c r="J55" s="227">
        <v>0</v>
      </c>
      <c r="K55" s="227">
        <v>0</v>
      </c>
      <c r="L55" s="227">
        <v>0</v>
      </c>
      <c r="M55" s="227">
        <v>0</v>
      </c>
      <c r="N55" s="227">
        <v>0</v>
      </c>
      <c r="O55" s="227">
        <v>0</v>
      </c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631"/>
      <c r="AF55" s="631"/>
      <c r="AG55" s="631"/>
      <c r="AH55" s="631"/>
      <c r="AI55" s="631"/>
    </row>
    <row r="56" spans="1:35" s="2" customFormat="1" ht="15.75" thickTop="1">
      <c r="C56" s="69" t="s">
        <v>150</v>
      </c>
      <c r="D56" s="140">
        <f>SUM(D52:D55)</f>
        <v>3668.0860547271714</v>
      </c>
      <c r="E56" s="140">
        <f>SUM(E52:E55)</f>
        <v>3794.8249820792985</v>
      </c>
      <c r="F56" s="140">
        <f t="shared" ref="F56:J56" si="7">SUM(F52:F55)</f>
        <v>3470.1721356371336</v>
      </c>
      <c r="G56" s="140">
        <f t="shared" si="7"/>
        <v>3425.4558763508016</v>
      </c>
      <c r="H56" s="140">
        <f t="shared" si="7"/>
        <v>3380.7396170644688</v>
      </c>
      <c r="I56" s="140">
        <f t="shared" si="7"/>
        <v>3336.0233577781378</v>
      </c>
      <c r="J56" s="140">
        <f t="shared" si="7"/>
        <v>3291.3070984918058</v>
      </c>
      <c r="K56" s="140">
        <f t="shared" ref="K56:O56" si="8">SUM(K52:K55)</f>
        <v>3201.8745799191411</v>
      </c>
      <c r="L56" s="140">
        <f t="shared" si="8"/>
        <v>3112.4420613464772</v>
      </c>
      <c r="M56" s="140">
        <f t="shared" si="8"/>
        <v>2995.8051928934128</v>
      </c>
      <c r="N56" s="140">
        <f t="shared" si="8"/>
        <v>2907.6092356789486</v>
      </c>
      <c r="O56" s="619">
        <f t="shared" si="8"/>
        <v>2819.4132784644844</v>
      </c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632"/>
      <c r="AA56" s="632"/>
      <c r="AB56" s="632"/>
      <c r="AC56" s="632"/>
      <c r="AD56" s="632"/>
      <c r="AE56" s="631"/>
      <c r="AF56" s="631"/>
      <c r="AG56" s="631"/>
      <c r="AH56" s="631"/>
      <c r="AI56" s="631"/>
    </row>
    <row r="57" spans="1:35"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628"/>
      <c r="AF57" s="628"/>
      <c r="AG57" s="628"/>
      <c r="AH57" s="628"/>
      <c r="AI57" s="628"/>
    </row>
    <row r="58" spans="1:35"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</row>
    <row r="59" spans="1:35">
      <c r="A59" s="148" t="s">
        <v>640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</row>
    <row r="60" spans="1:35">
      <c r="C60" s="2" t="s">
        <v>628</v>
      </c>
      <c r="D60" s="85">
        <f>D38-D45-D52</f>
        <v>19383.032995240384</v>
      </c>
      <c r="E60" s="85">
        <f t="shared" ref="E60:O60" si="9">E38-E45-E52</f>
        <v>19183.565985087182</v>
      </c>
      <c r="F60" s="85">
        <f t="shared" si="9"/>
        <v>19028.486647161179</v>
      </c>
      <c r="G60" s="85">
        <f t="shared" si="9"/>
        <v>18881.395253895065</v>
      </c>
      <c r="H60" s="85">
        <f t="shared" si="9"/>
        <v>18420.916539852882</v>
      </c>
      <c r="I60" s="85">
        <f t="shared" si="9"/>
        <v>18070.605040877061</v>
      </c>
      <c r="J60" s="85">
        <f t="shared" si="9"/>
        <v>17487.353032286523</v>
      </c>
      <c r="K60" s="85">
        <f t="shared" si="9"/>
        <v>15872.734521262397</v>
      </c>
      <c r="L60" s="85">
        <f t="shared" si="9"/>
        <v>15659.621190075155</v>
      </c>
      <c r="M60" s="85">
        <f t="shared" si="9"/>
        <v>15418.962734936655</v>
      </c>
      <c r="N60" s="85">
        <f t="shared" si="9"/>
        <v>15133.715910460576</v>
      </c>
      <c r="O60" s="592">
        <f t="shared" si="9"/>
        <v>14849.840580392074</v>
      </c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627"/>
      <c r="AF60" s="627"/>
      <c r="AG60" s="627"/>
      <c r="AH60" s="627"/>
      <c r="AI60" s="627"/>
    </row>
    <row r="61" spans="1:35">
      <c r="C61" s="2" t="s">
        <v>247</v>
      </c>
      <c r="D61" s="85">
        <f t="shared" ref="D61:O61" si="10">D39-D46-D53</f>
        <v>8197.6478648009561</v>
      </c>
      <c r="E61" s="85">
        <f t="shared" si="10"/>
        <v>7961.710295938633</v>
      </c>
      <c r="F61" s="85">
        <f t="shared" si="10"/>
        <v>8052.9708027882425</v>
      </c>
      <c r="G61" s="85">
        <f t="shared" si="10"/>
        <v>7989.5917914088568</v>
      </c>
      <c r="H61" s="85">
        <f t="shared" si="10"/>
        <v>7397.1615219121913</v>
      </c>
      <c r="I61" s="85">
        <f t="shared" si="10"/>
        <v>7009.279250177794</v>
      </c>
      <c r="J61" s="85">
        <f t="shared" si="10"/>
        <v>6169.1515260033193</v>
      </c>
      <c r="K61" s="85">
        <f t="shared" si="10"/>
        <v>5501.4034899851704</v>
      </c>
      <c r="L61" s="85">
        <f t="shared" si="10"/>
        <v>5458.523604420885</v>
      </c>
      <c r="M61" s="85">
        <f t="shared" si="10"/>
        <v>5429.2856222193932</v>
      </c>
      <c r="N61" s="85">
        <f t="shared" si="10"/>
        <v>5366.2884297567507</v>
      </c>
      <c r="O61" s="592">
        <f t="shared" si="10"/>
        <v>5300.3251746321685</v>
      </c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627"/>
      <c r="AF61" s="627"/>
      <c r="AG61" s="627"/>
      <c r="AH61" s="627"/>
      <c r="AI61" s="627"/>
    </row>
    <row r="62" spans="1:35">
      <c r="C62" t="s">
        <v>629</v>
      </c>
      <c r="D62" s="85">
        <f>D40-D47-D54</f>
        <v>1950.1345783643312</v>
      </c>
      <c r="E62" s="85">
        <f>E40-E47-E54</f>
        <v>1626.8124718320307</v>
      </c>
      <c r="F62" s="85">
        <f t="shared" ref="F62:O62" si="11">F40-F47-F54</f>
        <v>736.06565384993132</v>
      </c>
      <c r="G62" s="85">
        <f t="shared" si="11"/>
        <v>735.15725730086342</v>
      </c>
      <c r="H62" s="85">
        <f t="shared" si="11"/>
        <v>673.37568955929237</v>
      </c>
      <c r="I62" s="85">
        <f t="shared" si="11"/>
        <v>676.11403474667645</v>
      </c>
      <c r="J62" s="85">
        <f t="shared" si="11"/>
        <v>651.58658167184035</v>
      </c>
      <c r="K62" s="85">
        <f t="shared" si="11"/>
        <v>507.00475984335117</v>
      </c>
      <c r="L62" s="85">
        <f t="shared" si="11"/>
        <v>530.70014187157039</v>
      </c>
      <c r="M62" s="85">
        <f t="shared" si="11"/>
        <v>577.89916363062889</v>
      </c>
      <c r="N62" s="85">
        <f t="shared" si="11"/>
        <v>609.74033572717371</v>
      </c>
      <c r="O62" s="592">
        <f t="shared" si="11"/>
        <v>651.32201363225067</v>
      </c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627"/>
      <c r="AF62" s="627"/>
      <c r="AG62" s="627"/>
      <c r="AH62" s="627"/>
      <c r="AI62" s="627"/>
    </row>
    <row r="63" spans="1:35">
      <c r="C63" s="2" t="s">
        <v>630</v>
      </c>
      <c r="D63" s="85">
        <f t="shared" ref="D63:O63" si="12">D41-D48-D55</f>
        <v>1038.3705011489074</v>
      </c>
      <c r="E63" s="85">
        <f t="shared" si="12"/>
        <v>991.3836174672939</v>
      </c>
      <c r="F63" s="85">
        <f t="shared" si="12"/>
        <v>950.44802471683113</v>
      </c>
      <c r="G63" s="85">
        <f t="shared" si="12"/>
        <v>784.73882034762119</v>
      </c>
      <c r="H63" s="85">
        <f t="shared" si="12"/>
        <v>720.44388940581518</v>
      </c>
      <c r="I63" s="85">
        <f t="shared" si="12"/>
        <v>678.19315873708899</v>
      </c>
      <c r="J63" s="85">
        <f t="shared" si="12"/>
        <v>623.52909549173467</v>
      </c>
      <c r="K63" s="85">
        <f t="shared" si="12"/>
        <v>551.85903374166753</v>
      </c>
      <c r="L63" s="85">
        <f t="shared" si="12"/>
        <v>562.67456953959606</v>
      </c>
      <c r="M63" s="85">
        <f t="shared" si="12"/>
        <v>566.13859351059523</v>
      </c>
      <c r="N63" s="85">
        <f t="shared" si="12"/>
        <v>566.26316773400606</v>
      </c>
      <c r="O63" s="592">
        <f t="shared" si="12"/>
        <v>564.95456798995247</v>
      </c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627"/>
      <c r="AF63" s="627"/>
      <c r="AG63" s="627"/>
      <c r="AH63" s="627"/>
      <c r="AI63" s="627"/>
    </row>
    <row r="64" spans="1:35">
      <c r="C64" s="69" t="s">
        <v>150</v>
      </c>
      <c r="D64" s="85">
        <f t="shared" ref="D64:O64" si="13">D42-D49-D56</f>
        <v>30569.185939554576</v>
      </c>
      <c r="E64" s="85">
        <f t="shared" si="13"/>
        <v>29763.472370325137</v>
      </c>
      <c r="F64" s="85">
        <f t="shared" si="13"/>
        <v>28767.971128516183</v>
      </c>
      <c r="G64" s="85">
        <f t="shared" si="13"/>
        <v>28390.883122952408</v>
      </c>
      <c r="H64" s="85">
        <f t="shared" si="13"/>
        <v>27211.897640730182</v>
      </c>
      <c r="I64" s="85">
        <f t="shared" si="13"/>
        <v>26434.19148453862</v>
      </c>
      <c r="J64" s="85">
        <f t="shared" si="13"/>
        <v>24931.620235453418</v>
      </c>
      <c r="K64" s="85">
        <f t="shared" si="13"/>
        <v>22433.001804832587</v>
      </c>
      <c r="L64" s="85">
        <f t="shared" si="13"/>
        <v>22211.519505907207</v>
      </c>
      <c r="M64" s="85">
        <f t="shared" si="13"/>
        <v>21992.286114297269</v>
      </c>
      <c r="N64" s="85">
        <f t="shared" si="13"/>
        <v>21676.007843678504</v>
      </c>
      <c r="O64" s="592">
        <f t="shared" si="13"/>
        <v>21366.442336646447</v>
      </c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627"/>
      <c r="AF64" s="627"/>
      <c r="AG64" s="627"/>
      <c r="AH64" s="627"/>
      <c r="AI64" s="627"/>
    </row>
    <row r="65" spans="1:35">
      <c r="C65" s="69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>
      <c r="C66" s="69"/>
      <c r="D66" s="69">
        <v>2024</v>
      </c>
      <c r="E66" s="69">
        <v>2025</v>
      </c>
      <c r="F66" s="69">
        <v>2026</v>
      </c>
      <c r="G66" s="69">
        <v>2027</v>
      </c>
      <c r="H66" s="69">
        <v>2028</v>
      </c>
      <c r="I66" s="69">
        <v>2029</v>
      </c>
      <c r="J66" s="69">
        <v>2030</v>
      </c>
      <c r="K66" s="69">
        <v>2031</v>
      </c>
      <c r="L66" s="69">
        <v>2032</v>
      </c>
      <c r="M66" s="69">
        <v>2033</v>
      </c>
      <c r="N66" s="69">
        <v>2034</v>
      </c>
      <c r="O66" s="69">
        <v>2035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5" s="1" customFormat="1">
      <c r="A67" s="26" t="s">
        <v>641</v>
      </c>
      <c r="B67" s="26"/>
      <c r="C67" s="26"/>
      <c r="D67" s="26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33"/>
      <c r="AD67" s="633"/>
    </row>
    <row r="68" spans="1:35">
      <c r="B68" t="s">
        <v>231</v>
      </c>
      <c r="C68" t="s">
        <v>628</v>
      </c>
      <c r="D68" s="183">
        <f>SUMPRODUCT(E60:I60,$D5:$H5)</f>
        <v>7566.0449017672445</v>
      </c>
      <c r="E68" s="144">
        <f t="shared" ref="D68:M71" si="14">SUMPRODUCT(F60:J60,$D5:$H5)</f>
        <v>7502.7692716563288</v>
      </c>
      <c r="F68" s="144">
        <f t="shared" si="14"/>
        <v>7418.9976767031822</v>
      </c>
      <c r="G68" s="144">
        <f t="shared" si="14"/>
        <v>7244.3973965999767</v>
      </c>
      <c r="H68" s="144">
        <f t="shared" si="14"/>
        <v>7077.410556660624</v>
      </c>
      <c r="I68" s="144">
        <f t="shared" si="14"/>
        <v>6771.390494472671</v>
      </c>
      <c r="J68" s="144">
        <f t="shared" si="14"/>
        <v>6252.0360264596357</v>
      </c>
      <c r="K68" s="144">
        <f t="shared" si="14"/>
        <v>6165.1062665209429</v>
      </c>
      <c r="L68" s="144">
        <f t="shared" si="14"/>
        <v>6066.2380423274108</v>
      </c>
      <c r="M68" s="144">
        <f t="shared" si="14"/>
        <v>5829.3922384412435</v>
      </c>
      <c r="N68" s="144">
        <f t="shared" ref="N68:O71" si="15">SUMPRODUCT(O60:S60,$D5:$H5)</f>
        <v>4608.1168124527712</v>
      </c>
      <c r="O68" s="620">
        <f t="shared" si="15"/>
        <v>0</v>
      </c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</row>
    <row r="69" spans="1:35">
      <c r="C69" t="s">
        <v>247</v>
      </c>
      <c r="D69" s="144">
        <f t="shared" si="14"/>
        <v>19845.524674212291</v>
      </c>
      <c r="E69" s="144">
        <f t="shared" si="14"/>
        <v>19496.065219845426</v>
      </c>
      <c r="F69" s="144">
        <f t="shared" si="14"/>
        <v>18584.390439432726</v>
      </c>
      <c r="G69" s="144">
        <f t="shared" si="14"/>
        <v>17114.047595043488</v>
      </c>
      <c r="H69" s="144">
        <f t="shared" si="14"/>
        <v>15751.47554077809</v>
      </c>
      <c r="I69" s="144">
        <f t="shared" si="14"/>
        <v>14381.787351257488</v>
      </c>
      <c r="J69" s="144">
        <f t="shared" si="14"/>
        <v>13651.511111849719</v>
      </c>
      <c r="K69" s="144">
        <f t="shared" si="14"/>
        <v>13538.713329621847</v>
      </c>
      <c r="L69" s="144">
        <f t="shared" si="14"/>
        <v>12104.164531853041</v>
      </c>
      <c r="M69" s="144">
        <f t="shared" si="14"/>
        <v>9341.5323107308759</v>
      </c>
      <c r="N69" s="144">
        <f t="shared" si="15"/>
        <v>5300.3251746321685</v>
      </c>
      <c r="O69" s="620">
        <f t="shared" si="15"/>
        <v>0</v>
      </c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</row>
    <row r="70" spans="1:35">
      <c r="C70" t="s">
        <v>629</v>
      </c>
      <c r="D70" s="144">
        <f t="shared" si="14"/>
        <v>2362.5783548207696</v>
      </c>
      <c r="E70" s="144">
        <f t="shared" si="14"/>
        <v>1450.8349937960763</v>
      </c>
      <c r="F70" s="144">
        <f t="shared" si="14"/>
        <v>1409.4366007719925</v>
      </c>
      <c r="G70" s="144">
        <f t="shared" si="14"/>
        <v>1341.3956647912728</v>
      </c>
      <c r="H70" s="144">
        <f t="shared" si="14"/>
        <v>1279.9886152151155</v>
      </c>
      <c r="I70" s="144">
        <f t="shared" si="14"/>
        <v>1166.4108175845038</v>
      </c>
      <c r="J70" s="144">
        <f t="shared" si="14"/>
        <v>1053.2805788954108</v>
      </c>
      <c r="K70" s="144">
        <f t="shared" si="14"/>
        <v>1119.1068922940592</v>
      </c>
      <c r="L70" s="144">
        <f t="shared" si="14"/>
        <v>1201.3614530664779</v>
      </c>
      <c r="M70" s="144">
        <f t="shared" si="14"/>
        <v>1046.1260848607817</v>
      </c>
      <c r="N70" s="144">
        <f t="shared" si="15"/>
        <v>651.32201363225067</v>
      </c>
      <c r="O70" s="620">
        <f t="shared" si="15"/>
        <v>0</v>
      </c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</row>
    <row r="71" spans="1:35">
      <c r="C71" t="s">
        <v>630</v>
      </c>
      <c r="D71" s="144">
        <f t="shared" si="14"/>
        <v>991.3836174672939</v>
      </c>
      <c r="E71" s="144">
        <f t="shared" si="14"/>
        <v>950.44802471683113</v>
      </c>
      <c r="F71" s="144">
        <f t="shared" si="14"/>
        <v>784.73882034762119</v>
      </c>
      <c r="G71" s="144">
        <f t="shared" si="14"/>
        <v>720.44388940581518</v>
      </c>
      <c r="H71" s="144">
        <f t="shared" si="14"/>
        <v>678.19315873708899</v>
      </c>
      <c r="I71" s="144">
        <f t="shared" si="14"/>
        <v>623.52909549173467</v>
      </c>
      <c r="J71" s="144">
        <f t="shared" si="14"/>
        <v>551.85903374166753</v>
      </c>
      <c r="K71" s="144">
        <f t="shared" si="14"/>
        <v>562.67456953959606</v>
      </c>
      <c r="L71" s="144">
        <f t="shared" si="14"/>
        <v>566.13859351059523</v>
      </c>
      <c r="M71" s="144">
        <f t="shared" si="14"/>
        <v>566.26316773400606</v>
      </c>
      <c r="N71" s="144">
        <f t="shared" si="15"/>
        <v>564.95456798995247</v>
      </c>
      <c r="O71" s="620">
        <f t="shared" si="15"/>
        <v>0</v>
      </c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</row>
    <row r="72" spans="1:35">
      <c r="C72" t="s">
        <v>642</v>
      </c>
      <c r="D72" s="144">
        <f>SUM(D68:D71)</f>
        <v>30765.531548267598</v>
      </c>
      <c r="E72" s="144">
        <f>SUM(E68:E71)</f>
        <v>29400.117510014665</v>
      </c>
      <c r="F72" s="144">
        <f t="shared" ref="F72:J72" si="16">SUM(F68:F71)</f>
        <v>28197.563537255523</v>
      </c>
      <c r="G72" s="144">
        <f t="shared" si="16"/>
        <v>26420.284545840554</v>
      </c>
      <c r="H72" s="144">
        <f t="shared" si="16"/>
        <v>24787.067871390918</v>
      </c>
      <c r="I72" s="144">
        <f t="shared" si="16"/>
        <v>22943.117758806398</v>
      </c>
      <c r="J72" s="144">
        <f t="shared" si="16"/>
        <v>21508.686750946432</v>
      </c>
      <c r="K72" s="144">
        <f t="shared" ref="K72" si="17">SUM(K68:K71)</f>
        <v>21385.601057976444</v>
      </c>
      <c r="L72" s="144">
        <f t="shared" ref="L72" si="18">SUM(L68:L71)</f>
        <v>19937.902620757523</v>
      </c>
      <c r="M72" s="144">
        <f t="shared" ref="M72" si="19">SUM(M68:M71)</f>
        <v>16783.313801766908</v>
      </c>
      <c r="N72" s="144">
        <f t="shared" ref="N72" si="20">SUM(N68:N71)</f>
        <v>11124.718568707143</v>
      </c>
      <c r="O72" s="620">
        <f t="shared" ref="O72" si="21">SUM(O68:O71)</f>
        <v>0</v>
      </c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</row>
    <row r="73" spans="1:35">
      <c r="E73" s="33"/>
      <c r="F73" s="125"/>
      <c r="G73" s="125"/>
      <c r="H73" s="125"/>
      <c r="I73" s="125"/>
      <c r="J73" s="125"/>
    </row>
    <row r="74" spans="1:35">
      <c r="B74" t="s">
        <v>230</v>
      </c>
      <c r="C74" t="s">
        <v>628</v>
      </c>
      <c r="D74" s="144">
        <f t="shared" ref="D74:M77" si="22">SUMPRODUCT(E60:J60,$D10:$I10)</f>
        <v>5983.963187089963</v>
      </c>
      <c r="E74" s="144">
        <f t="shared" si="22"/>
        <v>5935.8978312714753</v>
      </c>
      <c r="F74" s="144">
        <f t="shared" si="22"/>
        <v>5875.5899100255847</v>
      </c>
      <c r="G74" s="144">
        <f t="shared" si="22"/>
        <v>5736.8331890551435</v>
      </c>
      <c r="H74" s="144">
        <f t="shared" si="22"/>
        <v>5616.7481593376451</v>
      </c>
      <c r="I74" s="144">
        <f t="shared" si="22"/>
        <v>5387.3020297563899</v>
      </c>
      <c r="J74" s="144">
        <f t="shared" si="22"/>
        <v>4947.321166529302</v>
      </c>
      <c r="K74" s="144">
        <f t="shared" si="22"/>
        <v>4879.502222066747</v>
      </c>
      <c r="L74" s="144">
        <f t="shared" si="22"/>
        <v>4802.2993203907708</v>
      </c>
      <c r="M74" s="144">
        <f t="shared" si="22"/>
        <v>4713.2789310689659</v>
      </c>
      <c r="N74" s="144">
        <f t="shared" ref="N74:O77" si="23">SUMPRODUCT(O60:T60,$D10:$I10)</f>
        <v>3956.6763748883359</v>
      </c>
      <c r="O74" s="620">
        <f t="shared" si="23"/>
        <v>0</v>
      </c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</row>
    <row r="75" spans="1:35">
      <c r="C75" t="s">
        <v>247</v>
      </c>
      <c r="D75" s="144">
        <f t="shared" si="22"/>
        <v>15993.766024971679</v>
      </c>
      <c r="E75" s="144">
        <f t="shared" si="22"/>
        <v>15847.060605263201</v>
      </c>
      <c r="F75" s="144">
        <f t="shared" si="22"/>
        <v>15258.752163648696</v>
      </c>
      <c r="G75" s="144">
        <f t="shared" si="22"/>
        <v>14129.198623112408</v>
      </c>
      <c r="H75" s="144">
        <f t="shared" si="22"/>
        <v>12958.073924295126</v>
      </c>
      <c r="I75" s="144">
        <f t="shared" si="22"/>
        <v>11656.404653752275</v>
      </c>
      <c r="J75" s="144">
        <f t="shared" si="22"/>
        <v>10950.278560279563</v>
      </c>
      <c r="K75" s="144">
        <f t="shared" si="22"/>
        <v>10867.020153127607</v>
      </c>
      <c r="L75" s="144">
        <f t="shared" si="22"/>
        <v>10773.806177785033</v>
      </c>
      <c r="M75" s="144">
        <f t="shared" si="22"/>
        <v>8917.5062967603044</v>
      </c>
      <c r="N75" s="144">
        <f t="shared" si="23"/>
        <v>5300.3251746321685</v>
      </c>
      <c r="O75" s="620">
        <f t="shared" si="23"/>
        <v>0</v>
      </c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</row>
    <row r="76" spans="1:35">
      <c r="C76" t="s">
        <v>629</v>
      </c>
      <c r="D76" s="144">
        <f t="shared" si="22"/>
        <v>2178.6346130822121</v>
      </c>
      <c r="E76" s="144">
        <f t="shared" si="22"/>
        <v>1271.9882048901861</v>
      </c>
      <c r="F76" s="144">
        <f t="shared" si="22"/>
        <v>1240.8736107671787</v>
      </c>
      <c r="G76" s="144">
        <f t="shared" si="22"/>
        <v>1174.3293523505906</v>
      </c>
      <c r="H76" s="144">
        <f t="shared" si="22"/>
        <v>1128.6585155434345</v>
      </c>
      <c r="I76" s="144">
        <f t="shared" si="22"/>
        <v>1037.7639970614086</v>
      </c>
      <c r="J76" s="144">
        <f t="shared" si="22"/>
        <v>916.82962168679364</v>
      </c>
      <c r="K76" s="144">
        <f t="shared" si="22"/>
        <v>972.08480761867827</v>
      </c>
      <c r="L76" s="144">
        <f t="shared" si="22"/>
        <v>1045.5998349022784</v>
      </c>
      <c r="M76" s="144">
        <f t="shared" si="22"/>
        <v>935.40134254329905</v>
      </c>
      <c r="N76" s="144">
        <f t="shared" si="23"/>
        <v>651.32201363225067</v>
      </c>
      <c r="O76" s="620">
        <f t="shared" si="23"/>
        <v>0</v>
      </c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</row>
    <row r="77" spans="1:35">
      <c r="C77" t="s">
        <v>630</v>
      </c>
      <c r="D77" s="144">
        <f t="shared" si="22"/>
        <v>991.3836174672939</v>
      </c>
      <c r="E77" s="144">
        <f t="shared" si="22"/>
        <v>950.44802471683113</v>
      </c>
      <c r="F77" s="144">
        <f t="shared" si="22"/>
        <v>784.73882034762119</v>
      </c>
      <c r="G77" s="144">
        <f t="shared" si="22"/>
        <v>720.44388940581518</v>
      </c>
      <c r="H77" s="144">
        <f t="shared" si="22"/>
        <v>678.19315873708899</v>
      </c>
      <c r="I77" s="144">
        <f t="shared" si="22"/>
        <v>623.52909549173467</v>
      </c>
      <c r="J77" s="144">
        <f t="shared" si="22"/>
        <v>551.85903374166753</v>
      </c>
      <c r="K77" s="144">
        <f t="shared" si="22"/>
        <v>562.67456953959606</v>
      </c>
      <c r="L77" s="144">
        <f t="shared" si="22"/>
        <v>566.13859351059523</v>
      </c>
      <c r="M77" s="144">
        <f t="shared" si="22"/>
        <v>566.26316773400606</v>
      </c>
      <c r="N77" s="144">
        <f t="shared" si="23"/>
        <v>564.95456798995247</v>
      </c>
      <c r="O77" s="620">
        <f t="shared" si="23"/>
        <v>0</v>
      </c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</row>
    <row r="78" spans="1:35">
      <c r="C78" t="s">
        <v>643</v>
      </c>
      <c r="D78" s="144">
        <f>SUM(D74:D77)</f>
        <v>25147.747442611148</v>
      </c>
      <c r="E78" s="144">
        <f>SUM(E74:E77)</f>
        <v>24005.394666141692</v>
      </c>
      <c r="F78" s="144">
        <f t="shared" ref="F78:O78" si="24">SUM(F74:F77)</f>
        <v>23159.954504789082</v>
      </c>
      <c r="G78" s="144">
        <f t="shared" si="24"/>
        <v>21760.805053923956</v>
      </c>
      <c r="H78" s="144">
        <f t="shared" si="24"/>
        <v>20381.673757913293</v>
      </c>
      <c r="I78" s="144">
        <f t="shared" si="24"/>
        <v>18704.99977606181</v>
      </c>
      <c r="J78" s="144">
        <f t="shared" si="24"/>
        <v>17366.288382237326</v>
      </c>
      <c r="K78" s="144">
        <f t="shared" si="24"/>
        <v>17281.281752352628</v>
      </c>
      <c r="L78" s="144">
        <f t="shared" si="24"/>
        <v>17187.843926588674</v>
      </c>
      <c r="M78" s="144">
        <f t="shared" si="24"/>
        <v>15132.449738106576</v>
      </c>
      <c r="N78" s="144">
        <f t="shared" si="24"/>
        <v>10473.278131142708</v>
      </c>
      <c r="O78" s="620">
        <f t="shared" si="24"/>
        <v>0</v>
      </c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</row>
    <row r="79" spans="1:35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237"/>
      <c r="Q79" s="237"/>
      <c r="R79" s="237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5">
      <c r="B80" t="s">
        <v>229</v>
      </c>
      <c r="C80" t="s">
        <v>628</v>
      </c>
      <c r="D80" s="144">
        <f t="shared" ref="D80:M83" si="25">SUMPRODUCT(E60:J60,$D15:$I15)</f>
        <v>4482.4369050548321</v>
      </c>
      <c r="E80" s="144">
        <f t="shared" si="25"/>
        <v>4446.2995420192001</v>
      </c>
      <c r="F80" s="144">
        <f t="shared" si="25"/>
        <v>4407.3282574738478</v>
      </c>
      <c r="G80" s="144">
        <f t="shared" si="25"/>
        <v>4301.2898415580758</v>
      </c>
      <c r="H80" s="144">
        <f t="shared" si="25"/>
        <v>4215.9869024308118</v>
      </c>
      <c r="I80" s="144">
        <f t="shared" si="25"/>
        <v>4064.5474710321728</v>
      </c>
      <c r="J80" s="144">
        <f t="shared" si="25"/>
        <v>3707.5866818604009</v>
      </c>
      <c r="K80" s="144">
        <f t="shared" si="25"/>
        <v>3657.3624123765185</v>
      </c>
      <c r="L80" s="144">
        <f t="shared" si="25"/>
        <v>3600.4493627165257</v>
      </c>
      <c r="M80" s="144">
        <f t="shared" si="25"/>
        <v>3533.7848475844003</v>
      </c>
      <c r="N80" s="144">
        <f t="shared" ref="N80:O83" si="26">SUMPRODUCT(O60:T60,$D15:$I15)</f>
        <v>3254.3384453674298</v>
      </c>
      <c r="O80" s="620">
        <f t="shared" si="26"/>
        <v>0</v>
      </c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</row>
    <row r="81" spans="1:30">
      <c r="C81" t="s">
        <v>247</v>
      </c>
      <c r="D81" s="144">
        <f t="shared" si="25"/>
        <v>11988.195697332754</v>
      </c>
      <c r="E81" s="144">
        <f t="shared" si="25"/>
        <v>12047.766698492671</v>
      </c>
      <c r="F81" s="144">
        <f t="shared" si="25"/>
        <v>11688.172552364953</v>
      </c>
      <c r="G81" s="144">
        <f t="shared" si="25"/>
        <v>10901.801147001088</v>
      </c>
      <c r="H81" s="144">
        <f t="shared" si="25"/>
        <v>10093.855013179455</v>
      </c>
      <c r="I81" s="144">
        <f t="shared" si="25"/>
        <v>8919.8532709959036</v>
      </c>
      <c r="J81" s="144">
        <f t="shared" si="25"/>
        <v>8230.665292195612</v>
      </c>
      <c r="K81" s="144">
        <f t="shared" si="25"/>
        <v>8173.1664155305816</v>
      </c>
      <c r="L81" s="144">
        <f t="shared" si="25"/>
        <v>8112.4298370977685</v>
      </c>
      <c r="M81" s="144">
        <f t="shared" si="25"/>
        <v>8016.4510170728354</v>
      </c>
      <c r="N81" s="144">
        <f t="shared" si="26"/>
        <v>5300.3251746321685</v>
      </c>
      <c r="O81" s="620">
        <f t="shared" si="26"/>
        <v>0</v>
      </c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</row>
    <row r="82" spans="1:30">
      <c r="C82" t="s">
        <v>629</v>
      </c>
      <c r="D82" s="144">
        <f t="shared" si="25"/>
        <v>1994.8452987569963</v>
      </c>
      <c r="E82" s="144">
        <f t="shared" si="25"/>
        <v>1103.644282500363</v>
      </c>
      <c r="F82" s="144">
        <f t="shared" si="25"/>
        <v>1071.8451020805096</v>
      </c>
      <c r="G82" s="144">
        <f t="shared" si="25"/>
        <v>1011.4327069326306</v>
      </c>
      <c r="H82" s="144">
        <f t="shared" si="25"/>
        <v>1001.9073255825966</v>
      </c>
      <c r="I82" s="144">
        <f t="shared" si="25"/>
        <v>905.08896159351593</v>
      </c>
      <c r="J82" s="144">
        <f t="shared" si="25"/>
        <v>772.35483077913636</v>
      </c>
      <c r="K82" s="144">
        <f t="shared" si="25"/>
        <v>819.64972368688484</v>
      </c>
      <c r="L82" s="144">
        <f t="shared" si="25"/>
        <v>882.76933149421575</v>
      </c>
      <c r="M82" s="144">
        <f t="shared" si="25"/>
        <v>935.40134254329905</v>
      </c>
      <c r="N82" s="144">
        <f t="shared" si="26"/>
        <v>651.32201363225067</v>
      </c>
      <c r="O82" s="620">
        <f t="shared" si="26"/>
        <v>0</v>
      </c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</row>
    <row r="83" spans="1:30">
      <c r="C83" t="s">
        <v>630</v>
      </c>
      <c r="D83" s="144">
        <f t="shared" si="25"/>
        <v>991.3836174672939</v>
      </c>
      <c r="E83" s="144">
        <f t="shared" si="25"/>
        <v>950.44802471683113</v>
      </c>
      <c r="F83" s="144">
        <f t="shared" si="25"/>
        <v>784.73882034762119</v>
      </c>
      <c r="G83" s="144">
        <f t="shared" si="25"/>
        <v>720.44388940581518</v>
      </c>
      <c r="H83" s="144">
        <f t="shared" si="25"/>
        <v>678.19315873708899</v>
      </c>
      <c r="I83" s="144">
        <f t="shared" si="25"/>
        <v>623.52909549173467</v>
      </c>
      <c r="J83" s="144">
        <f t="shared" si="25"/>
        <v>551.85903374166753</v>
      </c>
      <c r="K83" s="144">
        <f t="shared" si="25"/>
        <v>562.67456953959606</v>
      </c>
      <c r="L83" s="144">
        <f t="shared" si="25"/>
        <v>566.13859351059523</v>
      </c>
      <c r="M83" s="144">
        <f t="shared" si="25"/>
        <v>566.26316773400606</v>
      </c>
      <c r="N83" s="144">
        <f t="shared" si="26"/>
        <v>564.95456798995247</v>
      </c>
      <c r="O83" s="620">
        <f t="shared" si="26"/>
        <v>0</v>
      </c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</row>
    <row r="84" spans="1:30">
      <c r="C84" t="s">
        <v>644</v>
      </c>
      <c r="D84" s="144">
        <f>SUM(D80:D83)</f>
        <v>19456.86151861188</v>
      </c>
      <c r="E84" s="144">
        <f>SUM(E80:E83)</f>
        <v>18548.158547729065</v>
      </c>
      <c r="F84" s="144">
        <f t="shared" ref="F84:O84" si="27">SUM(F80:F83)</f>
        <v>17952.084732266932</v>
      </c>
      <c r="G84" s="144">
        <f t="shared" si="27"/>
        <v>16934.967584897611</v>
      </c>
      <c r="H84" s="144">
        <f t="shared" si="27"/>
        <v>15989.942399929952</v>
      </c>
      <c r="I84" s="144">
        <f t="shared" si="27"/>
        <v>14513.018799113326</v>
      </c>
      <c r="J84" s="144">
        <f t="shared" si="27"/>
        <v>13262.465838576818</v>
      </c>
      <c r="K84" s="144">
        <f t="shared" si="27"/>
        <v>13212.853121133581</v>
      </c>
      <c r="L84" s="144">
        <f t="shared" si="27"/>
        <v>13161.787124819106</v>
      </c>
      <c r="M84" s="144">
        <f t="shared" si="27"/>
        <v>13051.900374934541</v>
      </c>
      <c r="N84" s="144">
        <f t="shared" si="27"/>
        <v>9770.9402016218028</v>
      </c>
      <c r="O84" s="620">
        <f t="shared" si="27"/>
        <v>0</v>
      </c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</row>
    <row r="87" spans="1:30">
      <c r="A87" s="1"/>
      <c r="L87" s="341"/>
    </row>
    <row r="88" spans="1:30"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</row>
    <row r="89" spans="1:30"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342"/>
      <c r="AC89" s="342"/>
      <c r="AD89" s="342"/>
    </row>
    <row r="90" spans="1:30"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</row>
    <row r="91" spans="1:30"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</row>
    <row r="92" spans="1:30"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</row>
    <row r="93" spans="1:30">
      <c r="L93" s="341"/>
    </row>
    <row r="94" spans="1:30">
      <c r="L94" s="341"/>
    </row>
    <row r="95" spans="1:30"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</row>
    <row r="96" spans="1:30">
      <c r="L96" s="341"/>
    </row>
  </sheetData>
  <phoneticPr fontId="5" type="noConversion"/>
  <pageMargins left="0.7" right="0.7" top="0.75" bottom="0.75" header="0.3" footer="0.3"/>
  <pageSetup paperSize="9" orientation="portrait" r:id="rId1"/>
  <headerFooter>
    <oddHeader>&amp;C&amp;"Calibri"&amp;10&amp;K000000 [UNCLASSIFIED]&amp;1#_x000D_</oddHeader>
    <oddFooter>&amp;C_x000D_&amp;1#&amp;"Calibri"&amp;10&amp;K000000 [UNCLASSIFIED]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2966-F803-489E-B160-8C4D20DF9B0F}">
  <dimension ref="A1:AB21"/>
  <sheetViews>
    <sheetView zoomScaleNormal="100" workbookViewId="0">
      <selection activeCell="U26" sqref="U26"/>
    </sheetView>
  </sheetViews>
  <sheetFormatPr defaultRowHeight="15"/>
  <cols>
    <col min="1" max="1" width="16.140625" customWidth="1"/>
    <col min="2" max="2" width="14.28515625" customWidth="1"/>
    <col min="3" max="31" width="14.140625" customWidth="1"/>
  </cols>
  <sheetData>
    <row r="1" spans="1:28" s="21" customFormat="1">
      <c r="A1" s="42" t="s">
        <v>645</v>
      </c>
      <c r="J1" s="42" t="s">
        <v>608</v>
      </c>
      <c r="Q1" s="42" t="s">
        <v>646</v>
      </c>
      <c r="T1" s="225"/>
      <c r="U1" s="225"/>
      <c r="V1" s="225"/>
      <c r="Z1" s="468"/>
      <c r="AA1" s="225"/>
    </row>
    <row r="2" spans="1:28" ht="60">
      <c r="A2" t="s">
        <v>647</v>
      </c>
      <c r="B2" t="s">
        <v>648</v>
      </c>
      <c r="C2" t="s">
        <v>649</v>
      </c>
      <c r="D2" t="s">
        <v>650</v>
      </c>
      <c r="E2" t="s">
        <v>651</v>
      </c>
      <c r="F2" t="s">
        <v>201</v>
      </c>
      <c r="G2" s="35" t="s">
        <v>250</v>
      </c>
      <c r="H2" s="35" t="s">
        <v>652</v>
      </c>
      <c r="J2" s="163" t="s">
        <v>653</v>
      </c>
      <c r="K2" s="163" t="s">
        <v>654</v>
      </c>
      <c r="L2" s="163" t="s">
        <v>655</v>
      </c>
      <c r="M2" s="166" t="s">
        <v>656</v>
      </c>
      <c r="N2" s="166" t="s">
        <v>657</v>
      </c>
      <c r="O2" s="190" t="s">
        <v>658</v>
      </c>
      <c r="P2" s="192"/>
      <c r="Q2" s="192" t="s">
        <v>659</v>
      </c>
      <c r="R2" s="192" t="s">
        <v>660</v>
      </c>
      <c r="S2" s="192" t="s">
        <v>661</v>
      </c>
      <c r="T2" s="5" t="s">
        <v>593</v>
      </c>
      <c r="U2" s="12" t="s">
        <v>662</v>
      </c>
      <c r="V2" s="5"/>
      <c r="W2" s="167"/>
      <c r="X2" s="167"/>
      <c r="Y2" s="165"/>
    </row>
    <row r="3" spans="1:28">
      <c r="A3" s="161">
        <v>44377</v>
      </c>
      <c r="B3" t="s">
        <v>663</v>
      </c>
      <c r="C3" s="47">
        <v>9499000</v>
      </c>
      <c r="D3" s="47">
        <v>25062914</v>
      </c>
      <c r="E3" s="47">
        <v>74580060</v>
      </c>
      <c r="F3" s="47">
        <v>29277267</v>
      </c>
      <c r="G3" s="85">
        <f t="shared" ref="G3:G15" si="0">SUM(C3:F3)</f>
        <v>138419241</v>
      </c>
      <c r="H3" s="85"/>
      <c r="J3" s="168">
        <v>5138846</v>
      </c>
      <c r="K3" s="168">
        <v>1086031</v>
      </c>
      <c r="L3" s="168">
        <v>205139</v>
      </c>
      <c r="M3" s="47">
        <v>4750000</v>
      </c>
      <c r="N3" s="47">
        <v>0</v>
      </c>
      <c r="O3" s="191">
        <f>SUM(J3:N3)</f>
        <v>11180016</v>
      </c>
      <c r="P3" s="171"/>
      <c r="Q3" s="111">
        <v>1723010</v>
      </c>
      <c r="R3" s="111">
        <v>5736677</v>
      </c>
      <c r="S3" s="111">
        <v>29495828</v>
      </c>
      <c r="T3" s="85">
        <f>SUM(Q3:S3)</f>
        <v>36955515</v>
      </c>
      <c r="U3" s="85">
        <f t="shared" ref="U3:U17" si="1">O3-T3</f>
        <v>-25775499</v>
      </c>
      <c r="V3" s="164"/>
      <c r="W3" s="173"/>
      <c r="X3" s="173"/>
      <c r="Y3" s="143"/>
      <c r="Z3" s="89"/>
      <c r="AA3" s="14"/>
      <c r="AB3" s="5"/>
    </row>
    <row r="4" spans="1:28">
      <c r="A4" s="161">
        <v>44469</v>
      </c>
      <c r="B4" t="s">
        <v>664</v>
      </c>
      <c r="C4" s="47">
        <v>21249000</v>
      </c>
      <c r="D4" s="47">
        <v>25056071</v>
      </c>
      <c r="E4" s="47">
        <v>75528100</v>
      </c>
      <c r="F4" s="47">
        <v>29307899</v>
      </c>
      <c r="G4" s="85">
        <f t="shared" si="0"/>
        <v>151141070</v>
      </c>
      <c r="H4" s="85">
        <f>G4-G3</f>
        <v>12721829</v>
      </c>
      <c r="I4" s="5"/>
      <c r="J4" s="168">
        <v>0</v>
      </c>
      <c r="K4" s="168">
        <v>1305560</v>
      </c>
      <c r="L4" s="168">
        <v>162162</v>
      </c>
      <c r="M4" s="47">
        <v>4750000</v>
      </c>
      <c r="N4" s="168">
        <v>7000000</v>
      </c>
      <c r="O4" s="130">
        <f t="shared" ref="O4:O17" si="2">SUM(J4:N4)</f>
        <v>13217722</v>
      </c>
      <c r="P4" s="171"/>
      <c r="Q4" s="111">
        <v>386795</v>
      </c>
      <c r="R4" s="111">
        <v>11091</v>
      </c>
      <c r="S4" s="111">
        <v>372029</v>
      </c>
      <c r="T4" s="85">
        <f t="shared" ref="T4:T17" si="3">SUM(Q4:S4)</f>
        <v>769915</v>
      </c>
      <c r="U4" s="85">
        <f t="shared" si="1"/>
        <v>12447807</v>
      </c>
      <c r="V4" s="164"/>
      <c r="W4" s="173"/>
      <c r="X4" s="464"/>
      <c r="Y4" s="162"/>
      <c r="Z4" s="89"/>
      <c r="AA4" s="14"/>
    </row>
    <row r="5" spans="1:28">
      <c r="A5" s="161">
        <v>44561</v>
      </c>
      <c r="B5" t="s">
        <v>665</v>
      </c>
      <c r="C5" s="47">
        <v>25998999</v>
      </c>
      <c r="D5" s="47">
        <v>25049961</v>
      </c>
      <c r="E5" s="47">
        <v>75815100</v>
      </c>
      <c r="F5" s="47">
        <v>30840151</v>
      </c>
      <c r="G5" s="85">
        <f t="shared" si="0"/>
        <v>157704211</v>
      </c>
      <c r="H5" s="85">
        <f t="shared" ref="H5:H16" si="4">G5-G4</f>
        <v>6563141</v>
      </c>
      <c r="I5" s="5"/>
      <c r="J5" s="168">
        <v>0</v>
      </c>
      <c r="K5" s="168">
        <v>342880</v>
      </c>
      <c r="L5" s="168">
        <v>1501312</v>
      </c>
      <c r="M5" s="168">
        <v>4750000</v>
      </c>
      <c r="N5" s="168"/>
      <c r="O5" s="130">
        <f t="shared" si="2"/>
        <v>6594192</v>
      </c>
      <c r="P5" s="171"/>
      <c r="Q5" s="111">
        <v>61969</v>
      </c>
      <c r="R5" s="111">
        <v>0</v>
      </c>
      <c r="S5" s="111">
        <v>27986</v>
      </c>
      <c r="T5" s="85">
        <f t="shared" si="3"/>
        <v>89955</v>
      </c>
      <c r="U5" s="85">
        <f t="shared" si="1"/>
        <v>6504237</v>
      </c>
      <c r="V5" s="164"/>
      <c r="W5" s="464"/>
      <c r="X5" s="464"/>
      <c r="Y5" s="162"/>
      <c r="Z5" s="89"/>
      <c r="AA5" s="14"/>
    </row>
    <row r="6" spans="1:28">
      <c r="A6" s="161">
        <v>44651</v>
      </c>
      <c r="B6" t="s">
        <v>666</v>
      </c>
      <c r="C6" s="47">
        <v>36478642</v>
      </c>
      <c r="D6" s="47">
        <v>24912189</v>
      </c>
      <c r="E6" s="47">
        <v>79460013</v>
      </c>
      <c r="F6" s="47">
        <v>32985093</v>
      </c>
      <c r="G6" s="85">
        <f t="shared" si="0"/>
        <v>173835937</v>
      </c>
      <c r="H6" s="85">
        <f t="shared" si="4"/>
        <v>16131726</v>
      </c>
      <c r="I6" s="5"/>
      <c r="J6" s="168">
        <v>1741514</v>
      </c>
      <c r="K6" s="168">
        <v>3958024</v>
      </c>
      <c r="L6" s="168">
        <v>559507</v>
      </c>
      <c r="M6" s="168">
        <v>4825000</v>
      </c>
      <c r="N6" s="168">
        <v>7000000</v>
      </c>
      <c r="O6" s="130">
        <f t="shared" si="2"/>
        <v>18084045</v>
      </c>
      <c r="P6" s="171"/>
      <c r="Q6" s="111">
        <v>575186</v>
      </c>
      <c r="R6" s="111">
        <v>194735</v>
      </c>
      <c r="S6" s="111">
        <v>269049</v>
      </c>
      <c r="T6" s="85">
        <f t="shared" si="3"/>
        <v>1038970</v>
      </c>
      <c r="U6" s="85">
        <f t="shared" si="1"/>
        <v>17045075</v>
      </c>
      <c r="V6" s="164"/>
      <c r="W6" s="464"/>
      <c r="X6" s="464"/>
      <c r="Y6" s="162"/>
      <c r="Z6" s="93"/>
      <c r="AA6" s="14"/>
    </row>
    <row r="7" spans="1:28">
      <c r="A7" s="161">
        <v>44742</v>
      </c>
      <c r="B7" t="s">
        <v>667</v>
      </c>
      <c r="C7" s="47">
        <v>35903725</v>
      </c>
      <c r="D7" s="47">
        <v>22312972</v>
      </c>
      <c r="E7" s="47">
        <v>67230711</v>
      </c>
      <c r="F7" s="47">
        <v>25315061</v>
      </c>
      <c r="G7" s="85">
        <f t="shared" si="0"/>
        <v>150762469</v>
      </c>
      <c r="H7" s="85">
        <f t="shared" si="4"/>
        <v>-23073468</v>
      </c>
      <c r="I7" s="5"/>
      <c r="J7" s="168">
        <v>4082560</v>
      </c>
      <c r="K7" s="168">
        <v>2305242</v>
      </c>
      <c r="L7" s="168">
        <v>924149</v>
      </c>
      <c r="M7" s="168">
        <v>4825000</v>
      </c>
      <c r="N7" s="168"/>
      <c r="O7" s="130">
        <f t="shared" si="2"/>
        <v>12136951</v>
      </c>
      <c r="P7" s="171"/>
      <c r="Q7" s="111">
        <v>17131573</v>
      </c>
      <c r="R7" s="111">
        <v>19077738</v>
      </c>
      <c r="S7" s="111">
        <v>373604</v>
      </c>
      <c r="T7" s="85">
        <f t="shared" si="3"/>
        <v>36582915</v>
      </c>
      <c r="U7" s="85">
        <f t="shared" si="1"/>
        <v>-24445964</v>
      </c>
      <c r="V7" s="164"/>
      <c r="W7" s="464"/>
      <c r="X7" s="464"/>
      <c r="Y7" s="162"/>
      <c r="Z7" s="93"/>
      <c r="AA7" s="14"/>
      <c r="AB7" s="5"/>
    </row>
    <row r="8" spans="1:28">
      <c r="A8" s="161">
        <v>44834</v>
      </c>
      <c r="B8" t="s">
        <v>668</v>
      </c>
      <c r="C8" s="47">
        <v>40728725</v>
      </c>
      <c r="D8" s="47">
        <v>22290368</v>
      </c>
      <c r="E8" s="47">
        <v>70116687</v>
      </c>
      <c r="F8" s="47">
        <v>25764045</v>
      </c>
      <c r="G8" s="85">
        <f t="shared" si="0"/>
        <v>158899825</v>
      </c>
      <c r="H8" s="85">
        <f t="shared" si="4"/>
        <v>8137356</v>
      </c>
      <c r="I8" s="5"/>
      <c r="J8" s="168">
        <v>0</v>
      </c>
      <c r="K8" s="168">
        <v>3281149</v>
      </c>
      <c r="L8" s="168">
        <v>449559</v>
      </c>
      <c r="M8" s="168">
        <v>4825000</v>
      </c>
      <c r="N8" s="168"/>
      <c r="O8" s="130">
        <f t="shared" si="2"/>
        <v>8555708</v>
      </c>
      <c r="P8" s="171"/>
      <c r="Q8" s="111">
        <v>441061</v>
      </c>
      <c r="R8" s="111">
        <v>0</v>
      </c>
      <c r="S8" s="111">
        <v>893903</v>
      </c>
      <c r="T8" s="85">
        <f t="shared" si="3"/>
        <v>1334964</v>
      </c>
      <c r="U8" s="85">
        <f t="shared" si="1"/>
        <v>7220744</v>
      </c>
      <c r="V8" s="164"/>
      <c r="W8" s="464"/>
      <c r="X8" s="464"/>
      <c r="Y8" s="162"/>
      <c r="Z8" s="93"/>
      <c r="AA8" s="14"/>
    </row>
    <row r="9" spans="1:28">
      <c r="A9" s="161">
        <v>44926</v>
      </c>
      <c r="B9" t="s">
        <v>669</v>
      </c>
      <c r="C9" s="47">
        <v>45553723</v>
      </c>
      <c r="D9" s="47">
        <v>22285166</v>
      </c>
      <c r="E9" s="47">
        <v>70663969</v>
      </c>
      <c r="F9" s="47">
        <v>25826915</v>
      </c>
      <c r="G9" s="85">
        <f t="shared" si="0"/>
        <v>164329773</v>
      </c>
      <c r="H9" s="85">
        <f t="shared" si="4"/>
        <v>5429948</v>
      </c>
      <c r="I9" s="5"/>
      <c r="J9" s="168">
        <v>8539</v>
      </c>
      <c r="K9" s="168">
        <v>792204</v>
      </c>
      <c r="L9" s="168">
        <v>361019</v>
      </c>
      <c r="M9" s="145">
        <v>4825000</v>
      </c>
      <c r="N9" s="145"/>
      <c r="O9" s="130">
        <f t="shared" si="2"/>
        <v>5986762</v>
      </c>
      <c r="P9" s="171"/>
      <c r="Q9" s="111">
        <v>236889</v>
      </c>
      <c r="R9" s="111">
        <v>10913</v>
      </c>
      <c r="S9" s="111">
        <v>570086</v>
      </c>
      <c r="T9" s="85">
        <f t="shared" si="3"/>
        <v>817888</v>
      </c>
      <c r="U9" s="85">
        <f t="shared" si="1"/>
        <v>5168874</v>
      </c>
      <c r="V9" s="164"/>
      <c r="W9" s="464"/>
      <c r="X9" s="465"/>
      <c r="Y9" s="10"/>
      <c r="Z9" s="93"/>
      <c r="AA9" s="14"/>
    </row>
    <row r="10" spans="1:28">
      <c r="A10" s="161">
        <v>45016</v>
      </c>
      <c r="B10" t="s">
        <v>670</v>
      </c>
      <c r="C10" s="47">
        <v>45438124</v>
      </c>
      <c r="D10" s="47">
        <v>22201526</v>
      </c>
      <c r="E10" s="47">
        <v>73541617</v>
      </c>
      <c r="F10" s="47">
        <v>28329085</v>
      </c>
      <c r="G10" s="85">
        <f t="shared" si="0"/>
        <v>169510352</v>
      </c>
      <c r="H10" s="85">
        <f t="shared" si="4"/>
        <v>5180579</v>
      </c>
      <c r="I10" s="5"/>
      <c r="J10" s="168">
        <v>1995658</v>
      </c>
      <c r="K10" s="168">
        <v>3497154</v>
      </c>
      <c r="L10" s="168">
        <v>677644</v>
      </c>
      <c r="M10" s="168">
        <v>0</v>
      </c>
      <c r="N10" s="168"/>
      <c r="O10" s="130">
        <f t="shared" si="2"/>
        <v>6170456</v>
      </c>
      <c r="P10" s="171"/>
      <c r="Q10" s="111">
        <v>690399</v>
      </c>
      <c r="R10" s="111">
        <v>286731</v>
      </c>
      <c r="S10" s="111">
        <v>422950</v>
      </c>
      <c r="T10" s="85">
        <f t="shared" si="3"/>
        <v>1400080</v>
      </c>
      <c r="U10" s="85">
        <f t="shared" si="1"/>
        <v>4770376</v>
      </c>
      <c r="V10" s="164"/>
      <c r="W10" s="464"/>
      <c r="X10" s="464"/>
      <c r="Y10" s="162"/>
      <c r="Z10" s="93"/>
      <c r="AA10" s="14"/>
    </row>
    <row r="11" spans="1:28">
      <c r="A11" s="161">
        <v>45107</v>
      </c>
      <c r="B11" t="s">
        <v>671</v>
      </c>
      <c r="C11" s="47">
        <v>41760136</v>
      </c>
      <c r="D11" s="47">
        <v>19451710</v>
      </c>
      <c r="E11" s="47">
        <v>75741198</v>
      </c>
      <c r="F11" s="47">
        <v>23124873</v>
      </c>
      <c r="G11" s="85">
        <f t="shared" si="0"/>
        <v>160077917</v>
      </c>
      <c r="H11" s="85">
        <f t="shared" si="4"/>
        <v>-9432435</v>
      </c>
      <c r="I11" s="5"/>
      <c r="J11" s="168">
        <v>3810044</v>
      </c>
      <c r="K11" s="168">
        <v>4130998</v>
      </c>
      <c r="L11" s="168">
        <v>575268</v>
      </c>
      <c r="M11" s="168">
        <v>0</v>
      </c>
      <c r="N11" s="168"/>
      <c r="O11" s="130">
        <f t="shared" si="2"/>
        <v>8516310</v>
      </c>
      <c r="P11" s="171"/>
      <c r="Q11" s="111">
        <v>8251938</v>
      </c>
      <c r="R11" s="111">
        <v>13267401</v>
      </c>
      <c r="S11" s="111">
        <v>287175</v>
      </c>
      <c r="T11" s="85">
        <f t="shared" si="3"/>
        <v>21806514</v>
      </c>
      <c r="U11" s="85">
        <f t="shared" si="1"/>
        <v>-13290204</v>
      </c>
      <c r="V11" s="164"/>
      <c r="W11" s="466"/>
      <c r="X11" s="464"/>
      <c r="Y11" s="162"/>
      <c r="Z11" s="93"/>
      <c r="AA11" s="14"/>
      <c r="AB11" s="5"/>
    </row>
    <row r="12" spans="1:28">
      <c r="A12" s="161">
        <v>45199</v>
      </c>
      <c r="B12" t="s">
        <v>672</v>
      </c>
      <c r="C12" s="47">
        <v>39780325</v>
      </c>
      <c r="D12" s="47">
        <v>19433162</v>
      </c>
      <c r="E12" s="47">
        <v>78132615</v>
      </c>
      <c r="F12" s="47">
        <v>23451398</v>
      </c>
      <c r="G12" s="85">
        <f t="shared" si="0"/>
        <v>160797500</v>
      </c>
      <c r="H12" s="85">
        <f t="shared" si="4"/>
        <v>719583</v>
      </c>
      <c r="I12" s="36"/>
      <c r="J12" s="168">
        <v>1130</v>
      </c>
      <c r="K12" s="168">
        <v>5539707</v>
      </c>
      <c r="L12" s="168">
        <v>604212</v>
      </c>
      <c r="M12" s="168">
        <v>0</v>
      </c>
      <c r="N12" s="168"/>
      <c r="O12" s="130">
        <f t="shared" si="2"/>
        <v>6145049</v>
      </c>
      <c r="P12" s="171"/>
      <c r="Q12" s="111">
        <v>3238318</v>
      </c>
      <c r="R12" s="111">
        <v>2258628</v>
      </c>
      <c r="S12" s="111">
        <v>300832</v>
      </c>
      <c r="T12" s="85">
        <f t="shared" si="3"/>
        <v>5797778</v>
      </c>
      <c r="U12" s="85">
        <f t="shared" si="1"/>
        <v>347271</v>
      </c>
      <c r="V12" s="164"/>
      <c r="W12" s="466"/>
      <c r="X12" s="464"/>
      <c r="Y12" s="162"/>
      <c r="Z12" s="93"/>
      <c r="AA12" s="14"/>
    </row>
    <row r="13" spans="1:28">
      <c r="A13" s="161">
        <v>45291</v>
      </c>
      <c r="B13" t="s">
        <v>673</v>
      </c>
      <c r="C13" s="47">
        <v>39779753</v>
      </c>
      <c r="D13" s="47">
        <v>19108021</v>
      </c>
      <c r="E13" s="47">
        <v>77328045</v>
      </c>
      <c r="F13" s="47">
        <v>23686232</v>
      </c>
      <c r="G13" s="85">
        <f t="shared" si="0"/>
        <v>159902051</v>
      </c>
      <c r="H13" s="85">
        <f t="shared" si="4"/>
        <v>-895449</v>
      </c>
      <c r="I13" s="36"/>
      <c r="J13" s="168">
        <v>24297</v>
      </c>
      <c r="K13" s="168">
        <v>6083727</v>
      </c>
      <c r="L13" s="168">
        <v>435176</v>
      </c>
      <c r="M13" s="168">
        <v>0</v>
      </c>
      <c r="N13" s="168"/>
      <c r="O13" s="130">
        <f t="shared" si="2"/>
        <v>6543200</v>
      </c>
      <c r="P13" s="171"/>
      <c r="Q13" s="111">
        <v>7221335</v>
      </c>
      <c r="R13" s="111">
        <v>225179</v>
      </c>
      <c r="S13" s="111">
        <v>104224</v>
      </c>
      <c r="T13" s="85">
        <f t="shared" si="3"/>
        <v>7550738</v>
      </c>
      <c r="U13" s="85">
        <f t="shared" si="1"/>
        <v>-1007538</v>
      </c>
      <c r="V13" s="164"/>
      <c r="W13" s="466"/>
      <c r="X13" s="464"/>
      <c r="Y13" s="162"/>
      <c r="Z13" s="89"/>
      <c r="AA13" s="14"/>
    </row>
    <row r="14" spans="1:28">
      <c r="A14" s="161">
        <v>45382</v>
      </c>
      <c r="B14" t="s">
        <v>674</v>
      </c>
      <c r="C14" s="47">
        <v>42703489</v>
      </c>
      <c r="D14" s="47">
        <v>19109095</v>
      </c>
      <c r="E14" s="47">
        <v>81371759</v>
      </c>
      <c r="F14" s="47">
        <v>25845840</v>
      </c>
      <c r="G14" s="85">
        <f t="shared" si="0"/>
        <v>169030183</v>
      </c>
      <c r="H14" s="85">
        <f t="shared" si="4"/>
        <v>9128132</v>
      </c>
      <c r="I14" s="5"/>
      <c r="J14" s="168">
        <v>1870680</v>
      </c>
      <c r="K14" s="168">
        <v>4949743</v>
      </c>
      <c r="L14" s="168">
        <v>570979</v>
      </c>
      <c r="M14" s="47">
        <v>2974300</v>
      </c>
      <c r="N14" s="47"/>
      <c r="O14" s="130">
        <f t="shared" si="2"/>
        <v>10365702</v>
      </c>
      <c r="P14" s="171"/>
      <c r="Q14" s="111">
        <v>865752</v>
      </c>
      <c r="R14" s="111">
        <v>152615</v>
      </c>
      <c r="S14" s="111">
        <v>612794</v>
      </c>
      <c r="T14" s="85">
        <f t="shared" si="3"/>
        <v>1631161</v>
      </c>
      <c r="U14" s="85">
        <f t="shared" si="1"/>
        <v>8734541</v>
      </c>
      <c r="V14" s="164"/>
      <c r="W14" s="173"/>
      <c r="X14" s="173"/>
      <c r="Y14" s="14"/>
      <c r="Z14" s="89"/>
      <c r="AA14" s="14"/>
    </row>
    <row r="15" spans="1:28">
      <c r="A15" s="161">
        <v>45473</v>
      </c>
      <c r="B15" t="s">
        <v>675</v>
      </c>
      <c r="C15" s="47">
        <v>32862297</v>
      </c>
      <c r="D15" s="47">
        <v>18092843</v>
      </c>
      <c r="E15" s="47">
        <v>72855264</v>
      </c>
      <c r="F15" s="47">
        <v>20738912</v>
      </c>
      <c r="G15" s="85">
        <f t="shared" si="0"/>
        <v>144549316</v>
      </c>
      <c r="H15" s="85">
        <f t="shared" si="4"/>
        <v>-24480867</v>
      </c>
      <c r="I15" s="5"/>
      <c r="J15" s="168">
        <v>3517511</v>
      </c>
      <c r="K15" s="168">
        <v>4755177</v>
      </c>
      <c r="L15" s="168">
        <v>481502</v>
      </c>
      <c r="M15" s="168">
        <v>0</v>
      </c>
      <c r="N15" s="168"/>
      <c r="O15" s="130">
        <f t="shared" si="2"/>
        <v>8754190</v>
      </c>
      <c r="P15" s="171"/>
      <c r="Q15" s="111">
        <v>14271843</v>
      </c>
      <c r="R15" s="111">
        <v>18945751</v>
      </c>
      <c r="S15" s="111">
        <v>65274</v>
      </c>
      <c r="T15" s="85">
        <f t="shared" si="3"/>
        <v>33282868</v>
      </c>
      <c r="U15" s="85">
        <f t="shared" si="1"/>
        <v>-24528678</v>
      </c>
      <c r="V15" s="164"/>
      <c r="W15" s="467"/>
      <c r="X15" s="173"/>
      <c r="Y15" s="14"/>
      <c r="Z15" s="89"/>
      <c r="AA15" s="14"/>
      <c r="AB15" s="5"/>
    </row>
    <row r="16" spans="1:28">
      <c r="A16" s="161">
        <v>45565</v>
      </c>
      <c r="B16" t="s">
        <v>676</v>
      </c>
      <c r="C16" s="145">
        <v>32855356</v>
      </c>
      <c r="D16" s="145">
        <v>18092155</v>
      </c>
      <c r="E16" s="145">
        <v>74056556</v>
      </c>
      <c r="F16" s="145">
        <v>21073503</v>
      </c>
      <c r="G16" s="85">
        <f t="shared" ref="G16" si="5">SUM(C16:F16)</f>
        <v>146077570</v>
      </c>
      <c r="H16" s="85">
        <f t="shared" si="4"/>
        <v>1528254</v>
      </c>
      <c r="J16" s="168">
        <v>22791</v>
      </c>
      <c r="K16" s="168">
        <v>1645213</v>
      </c>
      <c r="L16" s="168">
        <v>321264</v>
      </c>
      <c r="M16" s="15">
        <v>0</v>
      </c>
      <c r="N16" s="15">
        <v>0</v>
      </c>
      <c r="O16" s="130">
        <f>SUM(J16:N16)</f>
        <v>1989268</v>
      </c>
      <c r="P16" s="171"/>
      <c r="Q16" s="111">
        <v>425390</v>
      </c>
      <c r="R16" s="111">
        <v>16341</v>
      </c>
      <c r="S16" s="111">
        <v>432015</v>
      </c>
      <c r="T16" s="85">
        <f t="shared" si="3"/>
        <v>873746</v>
      </c>
      <c r="U16" s="85">
        <f t="shared" si="1"/>
        <v>1115522</v>
      </c>
      <c r="W16" s="467"/>
      <c r="X16" s="173"/>
      <c r="Y16" s="14"/>
    </row>
    <row r="17" spans="1:25">
      <c r="A17" s="414">
        <v>45657</v>
      </c>
      <c r="B17" s="415" t="s">
        <v>677</v>
      </c>
      <c r="C17" s="145">
        <v>36887856</v>
      </c>
      <c r="D17" s="145">
        <v>18217114</v>
      </c>
      <c r="E17" s="145">
        <v>74141636</v>
      </c>
      <c r="F17" s="145">
        <v>21141945</v>
      </c>
      <c r="G17" s="717">
        <f t="shared" ref="G17" si="6">SUM(C17:F17)</f>
        <v>150388551</v>
      </c>
      <c r="H17" s="85">
        <f t="shared" ref="H17" si="7">G17-G16</f>
        <v>4310981</v>
      </c>
      <c r="J17" s="168">
        <v>0</v>
      </c>
      <c r="K17" s="168">
        <v>138835</v>
      </c>
      <c r="L17" s="168">
        <v>47074</v>
      </c>
      <c r="M17" s="15"/>
      <c r="N17" s="15"/>
      <c r="O17" s="130">
        <f t="shared" si="2"/>
        <v>185909</v>
      </c>
      <c r="P17" s="171"/>
      <c r="Q17" s="111">
        <v>-80388</v>
      </c>
      <c r="R17" s="111">
        <v>-87973</v>
      </c>
      <c r="S17" s="111">
        <v>23110</v>
      </c>
      <c r="T17" s="85">
        <f t="shared" si="3"/>
        <v>-145251</v>
      </c>
      <c r="U17" s="718">
        <f t="shared" si="1"/>
        <v>331160</v>
      </c>
      <c r="W17" s="467"/>
      <c r="X17" s="173"/>
      <c r="Y17" s="14"/>
    </row>
    <row r="18" spans="1:25">
      <c r="A18" s="161"/>
      <c r="C18" s="169"/>
      <c r="D18" s="169"/>
      <c r="E18" s="353"/>
      <c r="F18" s="169"/>
      <c r="G18" s="66"/>
      <c r="H18" s="66"/>
      <c r="J18" s="170"/>
      <c r="K18" s="170"/>
      <c r="L18" s="170"/>
      <c r="M18" s="169"/>
      <c r="N18" s="169"/>
      <c r="O18" s="171"/>
      <c r="P18" s="171"/>
      <c r="Q18" s="171"/>
      <c r="R18" s="171"/>
      <c r="S18" s="171"/>
      <c r="T18" s="169"/>
      <c r="U18" s="171"/>
      <c r="W18" s="172"/>
      <c r="X18" s="173"/>
    </row>
    <row r="19" spans="1:25">
      <c r="A19" s="161"/>
      <c r="C19" s="169"/>
      <c r="D19" s="169"/>
      <c r="E19" s="169"/>
      <c r="F19" s="169"/>
      <c r="G19" s="66"/>
      <c r="H19" s="66"/>
      <c r="J19" s="170"/>
      <c r="K19" s="170"/>
      <c r="L19" s="170"/>
      <c r="M19" s="169"/>
      <c r="N19" s="169"/>
      <c r="O19" s="66"/>
      <c r="P19" s="66"/>
      <c r="Q19" s="66"/>
      <c r="R19" s="66"/>
      <c r="S19" s="66"/>
      <c r="T19" s="169"/>
      <c r="U19" s="66"/>
      <c r="W19" s="172"/>
      <c r="X19" s="173"/>
    </row>
    <row r="20" spans="1:25">
      <c r="A20" s="161"/>
      <c r="C20" s="169"/>
      <c r="D20" s="169"/>
      <c r="E20" s="169"/>
      <c r="F20" s="169"/>
      <c r="G20" s="66"/>
      <c r="H20" s="66"/>
      <c r="J20" s="170"/>
      <c r="K20" s="170"/>
      <c r="L20" s="170"/>
      <c r="M20" s="169"/>
      <c r="N20" s="169"/>
      <c r="O20" s="66"/>
      <c r="P20" s="66"/>
      <c r="Q20" s="66"/>
      <c r="R20" s="66"/>
      <c r="S20" s="66"/>
      <c r="T20" s="169"/>
      <c r="U20" s="66"/>
      <c r="W20" s="172"/>
      <c r="X20" s="173"/>
    </row>
    <row r="21" spans="1:25">
      <c r="A21" s="161"/>
      <c r="C21" s="169"/>
      <c r="D21" s="169"/>
      <c r="E21" s="169"/>
      <c r="F21" s="169"/>
      <c r="G21" s="66"/>
      <c r="H21" s="66"/>
      <c r="J21" s="170"/>
      <c r="K21" s="170"/>
      <c r="L21" s="170"/>
      <c r="M21" s="169"/>
      <c r="N21" s="169"/>
      <c r="O21" s="66"/>
      <c r="P21" s="66"/>
      <c r="Q21" s="66"/>
      <c r="R21" s="66"/>
      <c r="S21" s="66"/>
      <c r="T21" s="169"/>
      <c r="U21" s="66"/>
      <c r="W21" s="172"/>
      <c r="X21" s="173"/>
    </row>
  </sheetData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686D-FD3A-4503-B616-899C05509432}">
  <dimension ref="A1:BG84"/>
  <sheetViews>
    <sheetView zoomScale="91" zoomScaleNormal="110" workbookViewId="0">
      <pane ySplit="1" topLeftCell="A2" activePane="bottomLeft" state="frozen"/>
      <selection pane="bottomLeft" activeCell="C16" sqref="C16"/>
    </sheetView>
  </sheetViews>
  <sheetFormatPr defaultRowHeight="15"/>
  <cols>
    <col min="2" max="2" width="27.28515625" style="12" customWidth="1"/>
    <col min="3" max="3" width="38.140625" customWidth="1"/>
    <col min="4" max="22" width="8.85546875" bestFit="1" customWidth="1"/>
    <col min="23" max="23" width="9.42578125" bestFit="1" customWidth="1"/>
    <col min="24" max="29" width="8.85546875" bestFit="1" customWidth="1"/>
    <col min="30" max="30" width="9.7109375" customWidth="1"/>
    <col min="31" max="32" width="8.85546875" bestFit="1" customWidth="1"/>
    <col min="33" max="33" width="9.42578125" bestFit="1" customWidth="1"/>
    <col min="34" max="37" width="8.85546875" bestFit="1" customWidth="1"/>
    <col min="38" max="38" width="9.42578125" bestFit="1" customWidth="1"/>
    <col min="39" max="43" width="8.85546875" bestFit="1" customWidth="1"/>
    <col min="44" max="44" width="9.42578125" bestFit="1" customWidth="1"/>
    <col min="45" max="50" width="8.85546875" bestFit="1" customWidth="1"/>
    <col min="51" max="51" width="9.42578125" bestFit="1" customWidth="1"/>
    <col min="52" max="53" width="8.85546875" bestFit="1" customWidth="1"/>
    <col min="54" max="54" width="9.42578125" bestFit="1" customWidth="1"/>
    <col min="55" max="58" width="8.85546875" bestFit="1" customWidth="1"/>
  </cols>
  <sheetData>
    <row r="1" spans="1:59">
      <c r="A1" s="48"/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</row>
    <row r="2" spans="1:59" ht="17.100000000000001" customHeight="1">
      <c r="A2" s="523"/>
      <c r="B2" s="26" t="s">
        <v>678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59">
      <c r="C3" t="s">
        <v>679</v>
      </c>
      <c r="D3" s="643">
        <f>'ERP2 New measures - detailed'!G21</f>
        <v>14324.939761410242</v>
      </c>
      <c r="E3" s="643">
        <f>'ERP2 New measures - detailed'!H21</f>
        <v>14317.80470662593</v>
      </c>
      <c r="F3" s="643">
        <f>'ERP2 New measures - detailed'!I21</f>
        <v>14265.724646237953</v>
      </c>
      <c r="G3" s="643">
        <f>'ERP2 New measures - detailed'!J21</f>
        <v>14160.752676811388</v>
      </c>
      <c r="H3" s="643">
        <f>'ERP2 New measures - detailed'!K21</f>
        <v>13999.450981563212</v>
      </c>
      <c r="I3" s="643">
        <f>'ERP2 New measures - detailed'!L21</f>
        <v>13848.929881369118</v>
      </c>
      <c r="J3" s="643">
        <f>'ERP2 New measures - detailed'!M21</f>
        <v>13685.207202809144</v>
      </c>
      <c r="K3" s="643">
        <f>'ERP2 New measures - detailed'!N21</f>
        <v>13499.240186713459</v>
      </c>
      <c r="L3" s="643">
        <f>'ERP2 New measures - detailed'!O21</f>
        <v>13296.382676378276</v>
      </c>
      <c r="M3" s="643">
        <f>'ERP2 New measures - detailed'!P21</f>
        <v>13064.209165470826</v>
      </c>
      <c r="N3" s="643">
        <f>'ERP2 New measures - detailed'!Q21</f>
        <v>12785.29841847738</v>
      </c>
      <c r="O3" s="643">
        <f>'ERP2 New measures - detailed'!R21</f>
        <v>12510.455809503019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</row>
    <row r="4" spans="1:59">
      <c r="C4" t="s">
        <v>680</v>
      </c>
      <c r="D4" s="643">
        <f>'ERP2 New measures - detailed'!G22</f>
        <v>15468.175027003495</v>
      </c>
      <c r="E4" s="643">
        <f>'ERP2 New measures - detailed'!H22</f>
        <v>14880.003909667437</v>
      </c>
      <c r="F4" s="643">
        <f>'ERP2 New measures - detailed'!I22</f>
        <v>14565.021409551147</v>
      </c>
      <c r="G4" s="643">
        <f>'ERP2 New measures - detailed'!J22</f>
        <v>14436.215832060174</v>
      </c>
      <c r="H4" s="643">
        <f>'ERP2 New measures - detailed'!K22</f>
        <v>13521.301401497465</v>
      </c>
      <c r="I4" s="643">
        <f>'ERP2 New measures - detailed'!L22</f>
        <v>12910.321588709299</v>
      </c>
      <c r="J4" s="643">
        <f>'ERP2 New measures - detailed'!M22</f>
        <v>11627.357276689228</v>
      </c>
      <c r="K4" s="643">
        <f>'ERP2 New measures - detailed'!N22</f>
        <v>11475.92194433777</v>
      </c>
      <c r="L4" s="643">
        <f>'ERP2 New measures - detailed'!O22</f>
        <v>11315.540744595964</v>
      </c>
      <c r="M4" s="643">
        <f>'ERP2 New measures - detailed'!P22</f>
        <v>11127.723782545165</v>
      </c>
      <c r="N4" s="643">
        <f>'ERP2 New measures - detailed'!Q22</f>
        <v>10930.213354888716</v>
      </c>
      <c r="O4" s="643">
        <f>'ERP2 New measures - detailed'!R22</f>
        <v>10728.664322823483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</row>
    <row r="5" spans="1:59">
      <c r="C5" t="s">
        <v>352</v>
      </c>
      <c r="D5" s="643">
        <f>'ERP2 New measures - detailed'!G23</f>
        <v>4316.1547713062519</v>
      </c>
      <c r="E5" s="643">
        <f>'ERP2 New measures - detailed'!H23</f>
        <v>4229.7516280797199</v>
      </c>
      <c r="F5" s="643">
        <f>'ERP2 New measures - detailed'!I23</f>
        <v>3264.1603360528452</v>
      </c>
      <c r="G5" s="643">
        <f>'ERP2 New measures - detailed'!J23</f>
        <v>3210.1797029607019</v>
      </c>
      <c r="H5" s="643">
        <f>'ERP2 New measures - detailed'!K23</f>
        <v>3076.5176353358993</v>
      </c>
      <c r="I5" s="643">
        <f>'ERP2 New measures - detailed'!L23</f>
        <v>3030.4248734661901</v>
      </c>
      <c r="J5" s="643">
        <f>'ERP2 New measures - detailed'!M23</f>
        <v>2981.411054030239</v>
      </c>
      <c r="K5" s="643">
        <f>'ERP2 New measures - detailed'!N23</f>
        <v>2983.0910615465218</v>
      </c>
      <c r="L5" s="643">
        <f>'ERP2 New measures - detailed'!O23</f>
        <v>2929.2851755255228</v>
      </c>
      <c r="M5" s="643">
        <f>'ERP2 New measures - detailed'!P23</f>
        <v>2930.9220136627946</v>
      </c>
      <c r="N5" s="643">
        <f>'ERP2 New measures - detailed'!Q23</f>
        <v>2893.6963234147565</v>
      </c>
      <c r="O5" s="643">
        <f>'ERP2 New measures - detailed'!R23</f>
        <v>2880.5725825337759</v>
      </c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</row>
    <row r="6" spans="1:59">
      <c r="C6" t="s">
        <v>339</v>
      </c>
      <c r="D6" s="643">
        <f>'ERP2 New measures - detailed'!G24</f>
        <v>39972.504130988651</v>
      </c>
      <c r="E6" s="643">
        <f>'ERP2 New measures - detailed'!H24</f>
        <v>39605.623785565236</v>
      </c>
      <c r="F6" s="643">
        <f>'ERP2 New measures - detailed'!I24</f>
        <v>39403.107980066154</v>
      </c>
      <c r="G6" s="643">
        <f>'ERP2 New measures - detailed'!J24</f>
        <v>39254.616112724922</v>
      </c>
      <c r="H6" s="643">
        <f>'ERP2 New measures - detailed'!K24</f>
        <v>39277.32304122021</v>
      </c>
      <c r="I6" s="643">
        <f>'ERP2 New measures - detailed'!L24</f>
        <v>39166.732306191858</v>
      </c>
      <c r="J6" s="643">
        <f>'ERP2 New measures - detailed'!M24</f>
        <v>38971.559832769119</v>
      </c>
      <c r="K6" s="643">
        <f>'ERP2 New measures - detailed'!N24</f>
        <v>38243.642629082671</v>
      </c>
      <c r="L6" s="643">
        <f>'ERP2 New measures - detailed'!O24</f>
        <v>37633.390222895017</v>
      </c>
      <c r="M6" s="643">
        <f>'ERP2 New measures - detailed'!P24</f>
        <v>36794.99234863434</v>
      </c>
      <c r="N6" s="643">
        <f>'ERP2 New measures - detailed'!Q24</f>
        <v>36065.504019836502</v>
      </c>
      <c r="O6" s="643">
        <f>'ERP2 New measures - detailed'!R24</f>
        <v>35350.645213871321</v>
      </c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</row>
    <row r="7" spans="1:59">
      <c r="C7" t="s">
        <v>249</v>
      </c>
      <c r="D7" s="643">
        <f>'ERP2 New measures - detailed'!G25</f>
        <v>3405.389643655833</v>
      </c>
      <c r="E7" s="643">
        <f>'ERP2 New measures - detailed'!H25</f>
        <v>3356.0903797162869</v>
      </c>
      <c r="F7" s="643">
        <f>'ERP2 New measures - detailed'!I25</f>
        <v>3222.5479328480142</v>
      </c>
      <c r="G7" s="643">
        <f>'ERP2 New measures - detailed'!J25</f>
        <v>3015.7617808926698</v>
      </c>
      <c r="H7" s="643">
        <f>'ERP2 New measures - detailed'!K25</f>
        <v>2911.4993998498599</v>
      </c>
      <c r="I7" s="643">
        <f>'ERP2 New measures - detailed'!L25</f>
        <v>2832.5349063773369</v>
      </c>
      <c r="J7" s="643">
        <f>'ERP2 New measures - detailed'!M25</f>
        <v>2746.873045489443</v>
      </c>
      <c r="K7" s="643">
        <f>'ERP2 New measures - detailed'!N25</f>
        <v>2775.2234305241518</v>
      </c>
      <c r="L7" s="643">
        <f>'ERP2 New measures - detailed'!O25</f>
        <v>2794.3154511361304</v>
      </c>
      <c r="M7" s="643">
        <f>'ERP2 New measures - detailed'!P25</f>
        <v>2804.0428500700536</v>
      </c>
      <c r="N7" s="643">
        <f>'ERP2 New measures - detailed'!Q25</f>
        <v>2811.7179606041564</v>
      </c>
      <c r="O7" s="643">
        <f>'ERP2 New measures - detailed'!R25</f>
        <v>2814.665741860741</v>
      </c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</row>
    <row r="8" spans="1:59">
      <c r="C8" t="s">
        <v>681</v>
      </c>
      <c r="D8" s="643">
        <f>'ERP2 New measures - detailed'!G26</f>
        <v>-6339.3976080867915</v>
      </c>
      <c r="E8" s="643">
        <f>'ERP2 New measures - detailed'!H26</f>
        <v>-7371.4246693807936</v>
      </c>
      <c r="F8" s="643">
        <f>'ERP2 New measures - detailed'!I26</f>
        <v>-8788.5068311243522</v>
      </c>
      <c r="G8" s="643">
        <f>'ERP2 New measures - detailed'!J26</f>
        <v>-10403.812380547497</v>
      </c>
      <c r="H8" s="643">
        <f>'ERP2 New measures - detailed'!K26</f>
        <v>-12346.191817120682</v>
      </c>
      <c r="I8" s="643">
        <f>'ERP2 New measures - detailed'!L26</f>
        <v>-13926.429457476626</v>
      </c>
      <c r="J8" s="643">
        <f>'ERP2 New measures - detailed'!M26</f>
        <v>-14832.741912177898</v>
      </c>
      <c r="K8" s="643">
        <f>'ERP2 New measures - detailed'!N26</f>
        <v>-15434.943736927024</v>
      </c>
      <c r="L8" s="643">
        <f>'ERP2 New measures - detailed'!O26</f>
        <v>-15996.362050735792</v>
      </c>
      <c r="M8" s="643">
        <f>'ERP2 New measures - detailed'!P26</f>
        <v>-16700.275926168157</v>
      </c>
      <c r="N8" s="643">
        <f>'ERP2 New measures - detailed'!Q26</f>
        <v>-17621.534597292532</v>
      </c>
      <c r="O8" s="643">
        <f>'ERP2 New measures - detailed'!R26</f>
        <v>-18521.064997697005</v>
      </c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</row>
    <row r="9" spans="1:59">
      <c r="C9" t="s">
        <v>682</v>
      </c>
      <c r="D9" s="85">
        <f t="shared" ref="D9:O9" si="0">SUM(D3:D8)</f>
        <v>71147.765726277692</v>
      </c>
      <c r="E9" s="85">
        <f t="shared" si="0"/>
        <v>69017.849740273829</v>
      </c>
      <c r="F9" s="85">
        <f t="shared" si="0"/>
        <v>65932.055473631757</v>
      </c>
      <c r="G9" s="85">
        <f t="shared" si="0"/>
        <v>63673.713724902358</v>
      </c>
      <c r="H9" s="85">
        <f t="shared" si="0"/>
        <v>60439.900642345965</v>
      </c>
      <c r="I9" s="85">
        <f t="shared" si="0"/>
        <v>57862.51409863717</v>
      </c>
      <c r="J9" s="85">
        <f t="shared" si="0"/>
        <v>55179.666499609273</v>
      </c>
      <c r="K9" s="85">
        <f t="shared" si="0"/>
        <v>53542.175515277551</v>
      </c>
      <c r="L9" s="85">
        <f t="shared" si="0"/>
        <v>51972.552219795129</v>
      </c>
      <c r="M9" s="85">
        <f t="shared" si="0"/>
        <v>50021.61423421502</v>
      </c>
      <c r="N9" s="85">
        <f t="shared" si="0"/>
        <v>47864.895479928979</v>
      </c>
      <c r="O9" s="592">
        <f t="shared" si="0"/>
        <v>45763.93867289534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</row>
    <row r="10" spans="1:59">
      <c r="C10" t="s">
        <v>683</v>
      </c>
      <c r="D10" s="85">
        <f t="shared" ref="D10:O10" si="1">SUM(D3:D7)</f>
        <v>77487.163334364479</v>
      </c>
      <c r="E10" s="85">
        <f t="shared" si="1"/>
        <v>76389.274409654623</v>
      </c>
      <c r="F10" s="85">
        <f t="shared" si="1"/>
        <v>74720.562304756109</v>
      </c>
      <c r="G10" s="85">
        <f t="shared" si="1"/>
        <v>74077.526105449855</v>
      </c>
      <c r="H10" s="85">
        <f t="shared" si="1"/>
        <v>72786.092459466643</v>
      </c>
      <c r="I10" s="85">
        <f t="shared" si="1"/>
        <v>71788.943556113794</v>
      </c>
      <c r="J10" s="85">
        <f t="shared" si="1"/>
        <v>70012.408411787168</v>
      </c>
      <c r="K10" s="85">
        <f t="shared" si="1"/>
        <v>68977.119252204575</v>
      </c>
      <c r="L10" s="85">
        <f t="shared" si="1"/>
        <v>67968.91427053092</v>
      </c>
      <c r="M10" s="85">
        <f t="shared" si="1"/>
        <v>66721.890160383176</v>
      </c>
      <c r="N10" s="85">
        <f t="shared" si="1"/>
        <v>65486.430077221507</v>
      </c>
      <c r="O10" s="592">
        <f t="shared" si="1"/>
        <v>64285.003670592341</v>
      </c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</row>
    <row r="11" spans="1:59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</row>
    <row r="12" spans="1:59">
      <c r="C12" t="s">
        <v>684</v>
      </c>
      <c r="D12" s="14">
        <f>'2. NZ ETS cap'!C6</f>
        <v>71147.765726277677</v>
      </c>
      <c r="E12" s="14">
        <f>'2. NZ ETS cap'!D6</f>
        <v>69017.849740273829</v>
      </c>
      <c r="F12" s="14">
        <f>'2. NZ ETS cap'!E6</f>
        <v>65932.055473631757</v>
      </c>
      <c r="G12" s="14">
        <f>'2. NZ ETS cap'!F6</f>
        <v>63673.713724902351</v>
      </c>
      <c r="H12" s="14">
        <f>'2. NZ ETS cap'!G6</f>
        <v>60439.90064234598</v>
      </c>
      <c r="I12" s="14">
        <f>'2. NZ ETS cap'!H6</f>
        <v>57862.514098637184</v>
      </c>
      <c r="J12" s="14">
        <f>'2. NZ ETS cap'!I6</f>
        <v>55179.666499609288</v>
      </c>
      <c r="K12" s="14">
        <f>'2. NZ ETS cap'!J6</f>
        <v>51314.841471996551</v>
      </c>
      <c r="L12" s="14">
        <f>'2. NZ ETS cap'!K6</f>
        <v>49810.513905862244</v>
      </c>
      <c r="M12" s="14">
        <f>'2. NZ ETS cap'!L6</f>
        <v>47940.734195040197</v>
      </c>
      <c r="N12" s="14">
        <f>'2. NZ ETS cap'!M6</f>
        <v>45873.734116862732</v>
      </c>
      <c r="O12" s="14">
        <f>'2. NZ ETS cap'!N6</f>
        <v>43860.17631023829</v>
      </c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</row>
    <row r="13" spans="1:59">
      <c r="C13" t="s">
        <v>685</v>
      </c>
      <c r="D13" s="14">
        <f t="shared" ref="D13:O13" si="2">D9-D12</f>
        <v>0</v>
      </c>
      <c r="E13" s="14">
        <f>E9-E12</f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97">
        <f>K9-K12</f>
        <v>2227.334043281</v>
      </c>
      <c r="L13" s="197">
        <f t="shared" si="2"/>
        <v>2162.0383139328842</v>
      </c>
      <c r="M13" s="197">
        <f t="shared" si="2"/>
        <v>2080.8800391748227</v>
      </c>
      <c r="N13" s="197">
        <f t="shared" si="2"/>
        <v>1991.1613630662468</v>
      </c>
      <c r="O13" s="197">
        <f t="shared" si="2"/>
        <v>1903.7623626570494</v>
      </c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</row>
    <row r="14" spans="1:59">
      <c r="A14" s="320" t="s">
        <v>686</v>
      </c>
      <c r="B14" s="318"/>
      <c r="C14" s="317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</row>
    <row r="15" spans="1:59">
      <c r="B15" s="50" t="s">
        <v>687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</row>
    <row r="16" spans="1:59" s="12" customFormat="1">
      <c r="C16" s="12" t="s">
        <v>688</v>
      </c>
      <c r="D16" s="312">
        <v>37.084660755318119</v>
      </c>
      <c r="E16" s="312">
        <v>35.406557766689069</v>
      </c>
      <c r="F16" s="312">
        <v>33.944572311315397</v>
      </c>
      <c r="G16" s="312">
        <v>28.026386440986471</v>
      </c>
      <c r="H16" s="312">
        <v>25.730138907350543</v>
      </c>
      <c r="I16" s="312">
        <v>24.22118424061032</v>
      </c>
      <c r="J16" s="312">
        <v>22.268896267561953</v>
      </c>
      <c r="K16" s="312">
        <v>21.421726253416665</v>
      </c>
      <c r="L16" s="312">
        <v>21.811179432964163</v>
      </c>
      <c r="M16" s="312">
        <v>21.902989675897629</v>
      </c>
      <c r="N16" s="312">
        <v>21.861711187081731</v>
      </c>
      <c r="O16" s="593">
        <v>21.765154642764248</v>
      </c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 s="590"/>
    </row>
    <row r="17" spans="2:59" s="12" customFormat="1" ht="30">
      <c r="C17" s="12" t="s">
        <v>689</v>
      </c>
      <c r="D17" s="313">
        <f t="shared" ref="D17:O17" si="3">D16*CH4_GWP</f>
        <v>1038.3705011489074</v>
      </c>
      <c r="E17" s="313">
        <f t="shared" si="3"/>
        <v>991.3836174672939</v>
      </c>
      <c r="F17" s="313">
        <f t="shared" si="3"/>
        <v>950.44802471683113</v>
      </c>
      <c r="G17" s="313">
        <f t="shared" si="3"/>
        <v>784.73882034762119</v>
      </c>
      <c r="H17" s="313">
        <f t="shared" si="3"/>
        <v>720.44388940581518</v>
      </c>
      <c r="I17" s="313">
        <f t="shared" si="3"/>
        <v>678.19315873708899</v>
      </c>
      <c r="J17" s="313">
        <f t="shared" si="3"/>
        <v>623.52909549173467</v>
      </c>
      <c r="K17" s="313">
        <f t="shared" si="3"/>
        <v>599.80833509566662</v>
      </c>
      <c r="L17" s="313">
        <f t="shared" si="3"/>
        <v>610.71302412299656</v>
      </c>
      <c r="M17" s="313">
        <f t="shared" si="3"/>
        <v>613.28371092513362</v>
      </c>
      <c r="N17" s="313">
        <f t="shared" si="3"/>
        <v>612.12791323828844</v>
      </c>
      <c r="O17" s="313">
        <f t="shared" si="3"/>
        <v>609.4243299973989</v>
      </c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596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 s="590"/>
    </row>
    <row r="18" spans="2:59" s="12" customFormat="1" ht="30">
      <c r="C18" s="12" t="s">
        <v>690</v>
      </c>
      <c r="D18" s="313">
        <f t="shared" ref="D18:O18" si="4">D7-D17</f>
        <v>2367.0191425069256</v>
      </c>
      <c r="E18" s="313">
        <f>E7-E17</f>
        <v>2364.7067622489931</v>
      </c>
      <c r="F18" s="313">
        <f t="shared" si="4"/>
        <v>2272.0999081311829</v>
      </c>
      <c r="G18" s="313">
        <f t="shared" si="4"/>
        <v>2231.0229605450486</v>
      </c>
      <c r="H18" s="313">
        <f t="shared" si="4"/>
        <v>2191.0555104440446</v>
      </c>
      <c r="I18" s="313">
        <f t="shared" si="4"/>
        <v>2154.3417476402478</v>
      </c>
      <c r="J18" s="313">
        <f t="shared" si="4"/>
        <v>2123.3439499977085</v>
      </c>
      <c r="K18" s="313">
        <f t="shared" si="4"/>
        <v>2175.4150954284851</v>
      </c>
      <c r="L18" s="313">
        <f t="shared" si="4"/>
        <v>2183.6024270131338</v>
      </c>
      <c r="M18" s="313">
        <f t="shared" si="4"/>
        <v>2190.75913914492</v>
      </c>
      <c r="N18" s="313">
        <f t="shared" si="4"/>
        <v>2199.590047365868</v>
      </c>
      <c r="O18" s="313">
        <f t="shared" si="4"/>
        <v>2205.2414118633424</v>
      </c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591"/>
    </row>
    <row r="19" spans="2:59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</row>
    <row r="20" spans="2:59">
      <c r="B20" s="307" t="s">
        <v>691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</row>
    <row r="21" spans="2:59">
      <c r="B21" s="565">
        <v>4.2326270521301279E-2</v>
      </c>
      <c r="C21" t="s">
        <v>692</v>
      </c>
      <c r="D21" s="14">
        <f>D5*$B$21</f>
        <v>182.68673446211366</v>
      </c>
      <c r="E21" s="14">
        <f t="shared" ref="E21:O21" si="5">E5*$B$21</f>
        <v>179.02961164801675</v>
      </c>
      <c r="F21" s="14">
        <f t="shared" si="5"/>
        <v>138.15973340867441</v>
      </c>
      <c r="G21" s="14">
        <f t="shared" si="5"/>
        <v>135.87493452950525</v>
      </c>
      <c r="H21" s="14">
        <f t="shared" si="5"/>
        <v>130.21751769678139</v>
      </c>
      <c r="I21" s="14">
        <f t="shared" si="5"/>
        <v>128.26658298881017</v>
      </c>
      <c r="J21" s="14">
        <f t="shared" si="5"/>
        <v>126.19201080808187</v>
      </c>
      <c r="K21" s="14">
        <f t="shared" si="5"/>
        <v>126.26311926069388</v>
      </c>
      <c r="L21" s="14">
        <f t="shared" si="5"/>
        <v>123.98571677333078</v>
      </c>
      <c r="M21" s="14">
        <f t="shared" si="5"/>
        <v>124.05499802712853</v>
      </c>
      <c r="N21" s="14">
        <f t="shared" si="5"/>
        <v>122.47937339134791</v>
      </c>
      <c r="O21" s="14">
        <f t="shared" si="5"/>
        <v>121.92389438456806</v>
      </c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</row>
    <row r="22" spans="2:59">
      <c r="C22" t="s">
        <v>693</v>
      </c>
      <c r="D22" s="14">
        <f>D5-D21</f>
        <v>4133.4680368441386</v>
      </c>
      <c r="E22" s="14">
        <f t="shared" ref="E22:O22" si="6">E5-E21</f>
        <v>4050.7220164317032</v>
      </c>
      <c r="F22" s="14">
        <f t="shared" si="6"/>
        <v>3126.0006026441706</v>
      </c>
      <c r="G22" s="14">
        <f t="shared" si="6"/>
        <v>3074.3047684311969</v>
      </c>
      <c r="H22" s="14">
        <f t="shared" si="6"/>
        <v>2946.3001176391181</v>
      </c>
      <c r="I22" s="14">
        <f t="shared" si="6"/>
        <v>2902.15829047738</v>
      </c>
      <c r="J22" s="14">
        <f t="shared" si="6"/>
        <v>2855.2190432221573</v>
      </c>
      <c r="K22" s="14">
        <f t="shared" si="6"/>
        <v>2856.8279422858277</v>
      </c>
      <c r="L22" s="14">
        <f t="shared" si="6"/>
        <v>2805.2994587521921</v>
      </c>
      <c r="M22" s="14">
        <f t="shared" si="6"/>
        <v>2806.8670156356661</v>
      </c>
      <c r="N22" s="14">
        <f t="shared" si="6"/>
        <v>2771.2169500234086</v>
      </c>
      <c r="O22" s="14">
        <f t="shared" si="6"/>
        <v>2758.6486881492078</v>
      </c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</row>
    <row r="24" spans="2:59">
      <c r="B24" t="s">
        <v>694</v>
      </c>
      <c r="C24" t="s">
        <v>695</v>
      </c>
      <c r="D24" s="231">
        <v>47.420461899623831</v>
      </c>
      <c r="E24" s="231">
        <v>47.420461899623831</v>
      </c>
      <c r="F24" s="231">
        <v>47.420461899623831</v>
      </c>
      <c r="G24" s="231">
        <v>47.420461899623831</v>
      </c>
      <c r="H24" s="231">
        <v>47.420461899623831</v>
      </c>
      <c r="I24" s="231">
        <v>47.420461899623831</v>
      </c>
      <c r="J24" s="231">
        <v>47.420461899623831</v>
      </c>
      <c r="K24" s="231">
        <v>47.420461899623831</v>
      </c>
      <c r="L24" s="231">
        <v>47.420461899623831</v>
      </c>
      <c r="M24" s="231">
        <v>47.420461899623831</v>
      </c>
      <c r="N24" s="231">
        <v>47.420461899623831</v>
      </c>
      <c r="O24" s="594">
        <v>47.420461899623831</v>
      </c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</row>
    <row r="25" spans="2:59">
      <c r="B25" t="s">
        <v>696</v>
      </c>
      <c r="C25" t="s">
        <v>697</v>
      </c>
      <c r="D25" s="231">
        <v>1218.6205239462388</v>
      </c>
      <c r="E25" s="231">
        <v>1129.256329950181</v>
      </c>
      <c r="F25" s="231">
        <v>1104.2901789512828</v>
      </c>
      <c r="G25" s="231">
        <v>1046.9672746263755</v>
      </c>
      <c r="H25" s="231">
        <v>959.93465088491939</v>
      </c>
      <c r="I25" s="231">
        <v>910.07263955688268</v>
      </c>
      <c r="J25" s="231">
        <v>907.23631096625911</v>
      </c>
      <c r="K25" s="231">
        <v>908.93840346174613</v>
      </c>
      <c r="L25" s="231">
        <v>855.1503023600477</v>
      </c>
      <c r="M25" s="231">
        <v>856.80067157236124</v>
      </c>
      <c r="N25" s="231">
        <v>819.58430284117799</v>
      </c>
      <c r="O25" s="594">
        <v>806.46571632242581</v>
      </c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</row>
    <row r="26" spans="2:59">
      <c r="B26" t="s">
        <v>694</v>
      </c>
      <c r="C26" t="s">
        <v>698</v>
      </c>
      <c r="D26" s="231">
        <v>6.2731345836719013E-3</v>
      </c>
      <c r="E26" s="231">
        <v>6.3906022208820232E-3</v>
      </c>
      <c r="F26" s="231">
        <v>6.5154177669010729E-3</v>
      </c>
      <c r="G26" s="231">
        <v>6.6480087743463704E-3</v>
      </c>
      <c r="H26" s="231">
        <v>6.7888286664408428E-3</v>
      </c>
      <c r="I26" s="231">
        <v>6.9383582970983229E-3</v>
      </c>
      <c r="J26" s="231">
        <v>7.0971075864366276E-3</v>
      </c>
      <c r="K26" s="231">
        <v>7.0962314547770014E-3</v>
      </c>
      <c r="L26" s="231">
        <v>7.0955259104919389E-3</v>
      </c>
      <c r="M26" s="231">
        <v>7.0949891201638523E-3</v>
      </c>
      <c r="N26" s="231">
        <v>7.0946193269230762E-3</v>
      </c>
      <c r="O26" s="594">
        <v>7.0944148485809358E-3</v>
      </c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</row>
    <row r="27" spans="2:59">
      <c r="B27" s="396" t="s">
        <v>699</v>
      </c>
      <c r="C27" s="396" t="s">
        <v>698</v>
      </c>
      <c r="D27" s="231">
        <v>19.651181633153509</v>
      </c>
      <c r="E27" s="231">
        <v>20.019160008883226</v>
      </c>
      <c r="F27" s="231">
        <v>20.410156397171434</v>
      </c>
      <c r="G27" s="231">
        <v>20.825510146637018</v>
      </c>
      <c r="H27" s="231">
        <v>21.266641647993996</v>
      </c>
      <c r="I27" s="231">
        <v>21.735057221164837</v>
      </c>
      <c r="J27" s="231">
        <v>22.232354238678376</v>
      </c>
      <c r="K27" s="231">
        <v>22.229609674194986</v>
      </c>
      <c r="L27" s="231">
        <v>22.227399490639847</v>
      </c>
      <c r="M27" s="231">
        <v>22.225717944660648</v>
      </c>
      <c r="N27" s="231">
        <v>22.22455953269861</v>
      </c>
      <c r="O27" s="594">
        <v>22.223918985140152</v>
      </c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</row>
    <row r="28" spans="2:59">
      <c r="C28" s="1" t="s">
        <v>700</v>
      </c>
      <c r="D28" s="130">
        <f t="shared" ref="D28:O28" si="7">SUM(D24:D27)</f>
        <v>1285.6984406135998</v>
      </c>
      <c r="E28" s="130">
        <f t="shared" si="7"/>
        <v>1196.702342460909</v>
      </c>
      <c r="F28" s="130">
        <f t="shared" si="7"/>
        <v>1172.127312665845</v>
      </c>
      <c r="G28" s="130">
        <f t="shared" si="7"/>
        <v>1115.2198946814108</v>
      </c>
      <c r="H28" s="130">
        <f t="shared" si="7"/>
        <v>1028.6285432612037</v>
      </c>
      <c r="I28" s="130">
        <f t="shared" si="7"/>
        <v>979.23509703596858</v>
      </c>
      <c r="J28" s="130">
        <f t="shared" si="7"/>
        <v>976.89622421214767</v>
      </c>
      <c r="K28" s="130">
        <f t="shared" si="7"/>
        <v>978.59557126701964</v>
      </c>
      <c r="L28" s="130">
        <f t="shared" si="7"/>
        <v>924.80525927622182</v>
      </c>
      <c r="M28" s="130">
        <f t="shared" si="7"/>
        <v>926.45394640576592</v>
      </c>
      <c r="N28" s="130">
        <f t="shared" si="7"/>
        <v>889.23641889282749</v>
      </c>
      <c r="O28" s="191">
        <f t="shared" si="7"/>
        <v>876.11719162203838</v>
      </c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BG28" s="169"/>
    </row>
    <row r="29" spans="2:59">
      <c r="B29" s="308">
        <v>0.52</v>
      </c>
      <c r="C29" t="s">
        <v>701</v>
      </c>
      <c r="D29" s="14">
        <f t="shared" ref="D29:O29" si="8">D28*$B$29</f>
        <v>668.56318911907192</v>
      </c>
      <c r="E29" s="14">
        <f t="shared" si="8"/>
        <v>622.28521807967275</v>
      </c>
      <c r="F29" s="14">
        <f t="shared" si="8"/>
        <v>609.5062025862394</v>
      </c>
      <c r="G29" s="14">
        <f t="shared" si="8"/>
        <v>579.91434523433361</v>
      </c>
      <c r="H29" s="14">
        <f t="shared" si="8"/>
        <v>534.88684249582593</v>
      </c>
      <c r="I29" s="14">
        <f t="shared" si="8"/>
        <v>509.2022504587037</v>
      </c>
      <c r="J29" s="14">
        <f t="shared" si="8"/>
        <v>507.98603659031681</v>
      </c>
      <c r="K29" s="14">
        <f t="shared" si="8"/>
        <v>508.86969705885025</v>
      </c>
      <c r="L29" s="14">
        <f t="shared" si="8"/>
        <v>480.89873482363538</v>
      </c>
      <c r="M29" s="14">
        <f t="shared" si="8"/>
        <v>481.75605213099828</v>
      </c>
      <c r="N29" s="14">
        <f t="shared" si="8"/>
        <v>462.40293782427028</v>
      </c>
      <c r="O29" s="14">
        <f t="shared" si="8"/>
        <v>455.58093964346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</row>
    <row r="30" spans="2:59">
      <c r="C30" t="s">
        <v>702</v>
      </c>
      <c r="D30" s="14">
        <f t="shared" ref="D30:O30" si="9">D28-D29</f>
        <v>617.13525149452789</v>
      </c>
      <c r="E30" s="14">
        <f t="shared" si="9"/>
        <v>574.41712438123625</v>
      </c>
      <c r="F30" s="14">
        <f t="shared" si="9"/>
        <v>562.62111007960561</v>
      </c>
      <c r="G30" s="14">
        <f t="shared" si="9"/>
        <v>535.30554944707717</v>
      </c>
      <c r="H30" s="14">
        <f t="shared" si="9"/>
        <v>493.7417007653778</v>
      </c>
      <c r="I30" s="14">
        <f t="shared" si="9"/>
        <v>470.03284657726488</v>
      </c>
      <c r="J30" s="14">
        <f t="shared" si="9"/>
        <v>468.91018762183086</v>
      </c>
      <c r="K30" s="14">
        <f t="shared" si="9"/>
        <v>469.72587420816939</v>
      </c>
      <c r="L30" s="14">
        <f t="shared" si="9"/>
        <v>443.90652445258644</v>
      </c>
      <c r="M30" s="14">
        <f t="shared" si="9"/>
        <v>444.69789427476763</v>
      </c>
      <c r="N30" s="14">
        <f t="shared" si="9"/>
        <v>426.83348106855721</v>
      </c>
      <c r="O30" s="14">
        <f t="shared" si="9"/>
        <v>420.53625197857838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</row>
    <row r="31" spans="2:59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</row>
    <row r="32" spans="2:59">
      <c r="B32" s="50" t="s">
        <v>703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</row>
    <row r="33" spans="1:59">
      <c r="C33" t="s">
        <v>704</v>
      </c>
      <c r="D33" s="231">
        <v>59.118143005959169</v>
      </c>
      <c r="E33" s="231">
        <v>59.331679708252665</v>
      </c>
      <c r="F33" s="231">
        <v>59.545216410546161</v>
      </c>
      <c r="G33" s="231">
        <v>59.758753112839663</v>
      </c>
      <c r="H33" s="231">
        <v>59.972289815133166</v>
      </c>
      <c r="I33" s="231">
        <v>60.185826517426669</v>
      </c>
      <c r="J33" s="231">
        <v>60.399247676725665</v>
      </c>
      <c r="K33" s="231">
        <v>60.718283341148528</v>
      </c>
      <c r="L33" s="231">
        <v>61.037287839233819</v>
      </c>
      <c r="M33" s="231">
        <v>61.356276080277922</v>
      </c>
      <c r="N33" s="231">
        <v>61.675256379811373</v>
      </c>
      <c r="O33" s="594">
        <v>61.994233061667565</v>
      </c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BG33" s="169"/>
    </row>
    <row r="35" spans="1:59">
      <c r="A35" s="42" t="s">
        <v>705</v>
      </c>
      <c r="B35" s="5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59" s="29" customFormat="1">
      <c r="B36" s="110" t="s">
        <v>334</v>
      </c>
      <c r="C36" s="29" t="s">
        <v>706</v>
      </c>
      <c r="D36" s="647">
        <f>'ETS vs. non-ETS forestry'!F10</f>
        <v>-7386.8776068296411</v>
      </c>
      <c r="E36" s="647">
        <f>'ETS vs. non-ETS forestry'!G10</f>
        <v>-8439.3821057495661</v>
      </c>
      <c r="F36" s="647">
        <f>'ETS vs. non-ETS forestry'!H10</f>
        <v>-9908.9217602937151</v>
      </c>
      <c r="G36" s="647">
        <f>'ETS vs. non-ETS forestry'!I10</f>
        <v>-11598.957037196406</v>
      </c>
      <c r="H36" s="647">
        <f>'ETS vs. non-ETS forestry'!J10</f>
        <v>-13539.023740340828</v>
      </c>
      <c r="I36" s="647">
        <f>'ETS vs. non-ETS forestry'!K10</f>
        <v>-15123.440578350519</v>
      </c>
      <c r="J36" s="647">
        <f>'ETS vs. non-ETS forestry'!L10</f>
        <v>-16016.521779889003</v>
      </c>
      <c r="K36" s="647">
        <f>'ETS vs. non-ETS forestry'!M10</f>
        <v>-16605.042827608409</v>
      </c>
      <c r="L36" s="647">
        <f>'ETS vs. non-ETS forestry'!N10</f>
        <v>-17165.141663822313</v>
      </c>
      <c r="M36" s="647">
        <f>'ETS vs. non-ETS forestry'!O10</f>
        <v>-17852.453687921588</v>
      </c>
      <c r="N36" s="647">
        <f>'ETS vs. non-ETS forestry'!P10</f>
        <v>-18753.205239114512</v>
      </c>
      <c r="O36" s="648">
        <f>'ETS vs. non-ETS forestry'!Q10</f>
        <v>-19637.841114971729</v>
      </c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9" s="29" customFormat="1" ht="16.5" customHeight="1">
      <c r="B37" s="110"/>
      <c r="C37" s="29" t="s">
        <v>707</v>
      </c>
      <c r="D37" s="647">
        <f>'ETS vs. non-ETS forestry'!F11</f>
        <v>924.28659846856203</v>
      </c>
      <c r="E37" s="647">
        <f>'ETS vs. non-ETS forestry'!G11</f>
        <v>960.13704748861198</v>
      </c>
      <c r="F37" s="647">
        <f>'ETS vs. non-ETS forestry'!H11</f>
        <v>1002.8074346001461</v>
      </c>
      <c r="G37" s="647">
        <f>'ETS vs. non-ETS forestry'!I11</f>
        <v>1064.8286981369492</v>
      </c>
      <c r="H37" s="647">
        <f>'ETS vs. non-ETS forestry'!J11</f>
        <v>1073.8177222867373</v>
      </c>
      <c r="I37" s="647">
        <f>'ETS vs. non-ETS forestry'!K11</f>
        <v>1092.3668869206529</v>
      </c>
      <c r="J37" s="647">
        <f>'ETS vs. non-ETS forestry'!L11</f>
        <v>1110.8791184395607</v>
      </c>
      <c r="K37" s="647">
        <f>'ETS vs. non-ETS forestry'!M11</f>
        <v>1126.2587868651938</v>
      </c>
      <c r="L37" s="647">
        <f>'ETS vs. non-ETS forestry'!N11</f>
        <v>1145.6672861477678</v>
      </c>
      <c r="M37" s="647">
        <f>'ETS vs. non-ETS forestry'!O11</f>
        <v>1172.1551559126672</v>
      </c>
      <c r="N37" s="647">
        <f>'ETS vs. non-ETS forestry'!P11</f>
        <v>1192.8445799572262</v>
      </c>
      <c r="O37" s="648">
        <f>'ETS vs. non-ETS forestry'!Q11</f>
        <v>1207.5621867697562</v>
      </c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9" s="29" customFormat="1" ht="16.5" customHeight="1">
      <c r="B38" s="110"/>
      <c r="C38" s="29" t="s">
        <v>708</v>
      </c>
      <c r="D38" s="649">
        <f t="shared" ref="D38:O38" si="10">D36+D37</f>
        <v>-6462.5910083610788</v>
      </c>
      <c r="E38" s="649">
        <f t="shared" si="10"/>
        <v>-7479.2450582609545</v>
      </c>
      <c r="F38" s="649">
        <f t="shared" si="10"/>
        <v>-8906.1143256935684</v>
      </c>
      <c r="G38" s="649">
        <f t="shared" si="10"/>
        <v>-10534.128339059456</v>
      </c>
      <c r="H38" s="649">
        <f t="shared" si="10"/>
        <v>-12465.20601805409</v>
      </c>
      <c r="I38" s="649">
        <f t="shared" si="10"/>
        <v>-14031.073691429867</v>
      </c>
      <c r="J38" s="649">
        <f t="shared" si="10"/>
        <v>-14905.642661449441</v>
      </c>
      <c r="K38" s="649">
        <f t="shared" si="10"/>
        <v>-15478.784040743216</v>
      </c>
      <c r="L38" s="649">
        <f t="shared" si="10"/>
        <v>-16019.474377674545</v>
      </c>
      <c r="M38" s="649">
        <f t="shared" si="10"/>
        <v>-16680.298532008921</v>
      </c>
      <c r="N38" s="649">
        <f t="shared" si="10"/>
        <v>-17560.360659157286</v>
      </c>
      <c r="O38" s="649">
        <f t="shared" si="10"/>
        <v>-18430.278928201973</v>
      </c>
      <c r="P38" s="598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9" s="29" customFormat="1" ht="16.5" customHeight="1">
      <c r="B39" s="110"/>
      <c r="C39" s="29" t="s">
        <v>685</v>
      </c>
      <c r="D39" s="649">
        <f t="shared" ref="D39:O39" si="11">D8-D38</f>
        <v>123.19340027428734</v>
      </c>
      <c r="E39" s="649">
        <f t="shared" si="11"/>
        <v>107.82038888016086</v>
      </c>
      <c r="F39" s="649">
        <f>F8-F38</f>
        <v>117.60749456921621</v>
      </c>
      <c r="G39" s="649">
        <f t="shared" si="11"/>
        <v>130.31595851195925</v>
      </c>
      <c r="H39" s="649">
        <f t="shared" si="11"/>
        <v>119.01420093340857</v>
      </c>
      <c r="I39" s="649">
        <f t="shared" si="11"/>
        <v>104.64423395324047</v>
      </c>
      <c r="J39" s="649">
        <f t="shared" si="11"/>
        <v>72.900749271542736</v>
      </c>
      <c r="K39" s="649">
        <f t="shared" si="11"/>
        <v>43.840303816192318</v>
      </c>
      <c r="L39" s="649">
        <f t="shared" si="11"/>
        <v>23.11232693875354</v>
      </c>
      <c r="M39" s="649">
        <f t="shared" si="11"/>
        <v>-19.9773941592357</v>
      </c>
      <c r="N39" s="649">
        <f t="shared" si="11"/>
        <v>-61.173938135245407</v>
      </c>
      <c r="O39" s="649">
        <f t="shared" si="11"/>
        <v>-90.78606949503228</v>
      </c>
      <c r="P39" s="598"/>
      <c r="Q39" s="598"/>
      <c r="R39" s="598"/>
      <c r="S39" s="598"/>
      <c r="T39" s="598"/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9" s="29" customFormat="1" ht="16.5" customHeight="1">
      <c r="B40" s="11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0"/>
      <c r="O40" s="650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9" s="29" customFormat="1" ht="16.5" customHeight="1">
      <c r="B41" s="110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650"/>
      <c r="O41" s="650"/>
      <c r="P41" s="600"/>
      <c r="Q41" s="600"/>
      <c r="R41" s="600"/>
      <c r="S41" s="600"/>
      <c r="T41" s="600"/>
      <c r="U41" s="600"/>
      <c r="V41" s="600"/>
      <c r="W41" s="600"/>
      <c r="X41" s="600"/>
      <c r="Y41" s="600"/>
      <c r="Z41" s="600"/>
      <c r="AA41" s="600"/>
      <c r="AB41" s="600"/>
      <c r="AC41" s="600"/>
      <c r="AD41" s="600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9" s="29" customFormat="1">
      <c r="B42" s="110"/>
      <c r="C42" s="29" t="s">
        <v>709</v>
      </c>
      <c r="D42" s="647">
        <f>'ETS vs. non-ETS forestry'!F24</f>
        <v>-6043.7544926891196</v>
      </c>
      <c r="E42" s="647">
        <f>'ETS vs. non-ETS forestry'!G24</f>
        <v>-7363.6198128749229</v>
      </c>
      <c r="F42" s="647">
        <f>'ETS vs. non-ETS forestry'!H24</f>
        <v>-9003.541406848517</v>
      </c>
      <c r="G42" s="647">
        <f>'ETS vs. non-ETS forestry'!I24</f>
        <v>-10980.055739117133</v>
      </c>
      <c r="H42" s="647">
        <f>'ETS vs. non-ETS forestry'!J24</f>
        <v>-12993.171675040639</v>
      </c>
      <c r="I42" s="647">
        <f>'ETS vs. non-ETS forestry'!K24</f>
        <v>-14665.125065594242</v>
      </c>
      <c r="J42" s="647">
        <f>'ETS vs. non-ETS forestry'!L24</f>
        <v>-15621.322482280488</v>
      </c>
      <c r="K42" s="647">
        <f>'ETS vs. non-ETS forestry'!M24</f>
        <v>-16115.164533317075</v>
      </c>
      <c r="L42" s="647">
        <f>'ETS vs. non-ETS forestry'!N24</f>
        <v>-16548.783930128699</v>
      </c>
      <c r="M42" s="647">
        <f>'ETS vs. non-ETS forestry'!O24</f>
        <v>-17023.841238726887</v>
      </c>
      <c r="N42" s="647">
        <f>'ETS vs. non-ETS forestry'!P24</f>
        <v>-17653.165310239205</v>
      </c>
      <c r="O42" s="648">
        <f>'ETS vs. non-ETS forestry'!Q24</f>
        <v>-18223.423359031549</v>
      </c>
      <c r="P42" s="598"/>
      <c r="Q42" s="598"/>
      <c r="R42" s="598"/>
      <c r="S42" s="598"/>
      <c r="T42" s="598"/>
      <c r="U42" s="598"/>
      <c r="V42" s="598"/>
      <c r="W42" s="598"/>
      <c r="X42" s="598"/>
      <c r="Y42" s="598"/>
      <c r="Z42" s="598"/>
      <c r="AA42" s="598"/>
      <c r="AB42" s="598"/>
      <c r="AC42" s="598"/>
      <c r="AD42" s="598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9" s="29" customFormat="1">
      <c r="B43" s="110"/>
      <c r="C43" s="29" t="s">
        <v>710</v>
      </c>
      <c r="D43" s="647">
        <f>'ETS vs. non-ETS forestry'!F25</f>
        <v>-11.361473920518989</v>
      </c>
      <c r="E43" s="647">
        <f>'ETS vs. non-ETS forestry'!G25</f>
        <v>-11.666814142518973</v>
      </c>
      <c r="F43" s="647">
        <f>'ETS vs. non-ETS forestry'!H25</f>
        <v>-11.972154364518985</v>
      </c>
      <c r="G43" s="647">
        <f>'ETS vs. non-ETS forestry'!I25</f>
        <v>-12.277494586518969</v>
      </c>
      <c r="H43" s="647">
        <f>'ETS vs. non-ETS forestry'!J25</f>
        <v>-4.3226202539522092</v>
      </c>
      <c r="I43" s="647">
        <f>'ETS vs. non-ETS forestry'!K25</f>
        <v>7.4627602409491658</v>
      </c>
      <c r="J43" s="647">
        <f>'ETS vs. non-ETS forestry'!L25</f>
        <v>21.181552216638806</v>
      </c>
      <c r="K43" s="647">
        <f>'ETS vs. non-ETS forestry'!M25</f>
        <v>32.470039427811059</v>
      </c>
      <c r="L43" s="647">
        <f>'ETS vs. non-ETS forestry'!N25</f>
        <v>48.713166951696877</v>
      </c>
      <c r="M43" s="647">
        <f>'ETS vs. non-ETS forestry'!O25</f>
        <v>69.412561887341752</v>
      </c>
      <c r="N43" s="647">
        <f>'ETS vs. non-ETS forestry'!P25</f>
        <v>84.207777145009175</v>
      </c>
      <c r="O43" s="648">
        <f>'ETS vs. non-ETS forestry'!Q25</f>
        <v>93.864009391125052</v>
      </c>
      <c r="P43" s="598"/>
      <c r="Q43" s="598"/>
      <c r="R43" s="598"/>
      <c r="S43" s="598"/>
      <c r="T43" s="598"/>
      <c r="U43" s="598"/>
      <c r="V43" s="598"/>
      <c r="W43" s="598"/>
      <c r="X43" s="598"/>
      <c r="Y43" s="598"/>
      <c r="Z43" s="598"/>
      <c r="AA43" s="598"/>
      <c r="AB43" s="598"/>
      <c r="AC43" s="598"/>
      <c r="AD43" s="598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9" s="29" customFormat="1">
      <c r="B44" s="110"/>
      <c r="C44" s="29" t="s">
        <v>711</v>
      </c>
      <c r="D44" s="649">
        <f t="shared" ref="D44:O44" si="12">D42+D43</f>
        <v>-6055.1159666096382</v>
      </c>
      <c r="E44" s="649">
        <f t="shared" si="12"/>
        <v>-7375.2866270174418</v>
      </c>
      <c r="F44" s="649">
        <f t="shared" si="12"/>
        <v>-9015.5135612130362</v>
      </c>
      <c r="G44" s="649">
        <f t="shared" si="12"/>
        <v>-10992.333233703652</v>
      </c>
      <c r="H44" s="649">
        <f t="shared" si="12"/>
        <v>-12997.494295294591</v>
      </c>
      <c r="I44" s="649">
        <f t="shared" si="12"/>
        <v>-14657.662305353293</v>
      </c>
      <c r="J44" s="649">
        <f t="shared" si="12"/>
        <v>-15600.14093006385</v>
      </c>
      <c r="K44" s="649">
        <f t="shared" si="12"/>
        <v>-16082.694493889263</v>
      </c>
      <c r="L44" s="649">
        <f t="shared" si="12"/>
        <v>-16500.070763177002</v>
      </c>
      <c r="M44" s="649">
        <f t="shared" si="12"/>
        <v>-16954.428676839547</v>
      </c>
      <c r="N44" s="649">
        <f t="shared" si="12"/>
        <v>-17568.957533094195</v>
      </c>
      <c r="O44" s="649">
        <f t="shared" si="12"/>
        <v>-18129.559349640425</v>
      </c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9" s="29" customFormat="1">
      <c r="B45" s="110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9" s="29" customFormat="1">
      <c r="B46" s="110"/>
      <c r="C46" s="322" t="s">
        <v>712</v>
      </c>
      <c r="D46" s="651">
        <f t="shared" ref="D46:N46" si="13">D36-D42</f>
        <v>-1343.1231141405215</v>
      </c>
      <c r="E46" s="651">
        <f t="shared" si="13"/>
        <v>-1075.7622928746432</v>
      </c>
      <c r="F46" s="651">
        <f>F36-F42</f>
        <v>-905.38035344519812</v>
      </c>
      <c r="G46" s="651">
        <f t="shared" si="13"/>
        <v>-618.90129807927224</v>
      </c>
      <c r="H46" s="651">
        <f t="shared" si="13"/>
        <v>-545.85206530018877</v>
      </c>
      <c r="I46" s="651">
        <f t="shared" si="13"/>
        <v>-458.3155127562768</v>
      </c>
      <c r="J46" s="651">
        <f t="shared" si="13"/>
        <v>-395.19929760851483</v>
      </c>
      <c r="K46" s="651">
        <f t="shared" si="13"/>
        <v>-489.8782942913349</v>
      </c>
      <c r="L46" s="651">
        <f t="shared" si="13"/>
        <v>-616.35773369361414</v>
      </c>
      <c r="M46" s="651">
        <f t="shared" si="13"/>
        <v>-828.61244919470118</v>
      </c>
      <c r="N46" s="651">
        <f t="shared" si="13"/>
        <v>-1100.0399288753069</v>
      </c>
      <c r="O46" s="651">
        <f t="shared" ref="O46" si="14">O36-O42</f>
        <v>-1414.4177559401796</v>
      </c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9" s="29" customFormat="1">
      <c r="B47" s="110"/>
      <c r="C47" s="322" t="s">
        <v>713</v>
      </c>
      <c r="D47" s="651">
        <f t="shared" ref="D47:N47" si="15">D37-D43</f>
        <v>935.64807238908099</v>
      </c>
      <c r="E47" s="651">
        <f t="shared" si="15"/>
        <v>971.80386163113099</v>
      </c>
      <c r="F47" s="651">
        <f t="shared" si="15"/>
        <v>1014.779588964665</v>
      </c>
      <c r="G47" s="651">
        <f t="shared" si="15"/>
        <v>1077.1061927234682</v>
      </c>
      <c r="H47" s="651">
        <f t="shared" si="15"/>
        <v>1078.1403425406895</v>
      </c>
      <c r="I47" s="651">
        <f t="shared" si="15"/>
        <v>1084.9041266797037</v>
      </c>
      <c r="J47" s="651">
        <f t="shared" si="15"/>
        <v>1089.697566222922</v>
      </c>
      <c r="K47" s="651">
        <f t="shared" si="15"/>
        <v>1093.7887474373827</v>
      </c>
      <c r="L47" s="651">
        <f t="shared" si="15"/>
        <v>1096.9541191960709</v>
      </c>
      <c r="M47" s="651">
        <f t="shared" si="15"/>
        <v>1102.7425940253254</v>
      </c>
      <c r="N47" s="651">
        <f t="shared" si="15"/>
        <v>1108.636802812217</v>
      </c>
      <c r="O47" s="651">
        <f t="shared" ref="O47" si="16">O37-O43</f>
        <v>1113.698177378631</v>
      </c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s="29" customFormat="1">
      <c r="B48" s="110"/>
      <c r="C48" s="322" t="s">
        <v>714</v>
      </c>
      <c r="D48" s="651">
        <f t="shared" ref="D48:N48" si="17">D46+D47</f>
        <v>-407.47504175144047</v>
      </c>
      <c r="E48" s="651">
        <f t="shared" si="17"/>
        <v>-103.95843124351222</v>
      </c>
      <c r="F48" s="651">
        <f t="shared" si="17"/>
        <v>109.39923551946686</v>
      </c>
      <c r="G48" s="651">
        <f t="shared" si="17"/>
        <v>458.20489464419597</v>
      </c>
      <c r="H48" s="651">
        <f t="shared" si="17"/>
        <v>532.28827724050075</v>
      </c>
      <c r="I48" s="651">
        <f t="shared" si="17"/>
        <v>626.58861392342692</v>
      </c>
      <c r="J48" s="651">
        <f t="shared" si="17"/>
        <v>694.49826861440715</v>
      </c>
      <c r="K48" s="651">
        <f t="shared" si="17"/>
        <v>603.91045314604776</v>
      </c>
      <c r="L48" s="651">
        <f t="shared" si="17"/>
        <v>480.59638550245677</v>
      </c>
      <c r="M48" s="651">
        <f t="shared" si="17"/>
        <v>274.1301448306242</v>
      </c>
      <c r="N48" s="651">
        <f t="shared" si="17"/>
        <v>8.5968739369100149</v>
      </c>
      <c r="O48" s="651">
        <f t="shared" ref="O48" si="18">O46+O47</f>
        <v>-300.71957856154859</v>
      </c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s="29" customFormat="1">
      <c r="B49" s="110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598"/>
      <c r="Q49" s="598"/>
      <c r="R49" s="598"/>
      <c r="S49" s="598"/>
      <c r="T49" s="598"/>
      <c r="U49" s="598"/>
      <c r="V49" s="598"/>
      <c r="W49" s="598"/>
      <c r="X49" s="598"/>
      <c r="Y49" s="598"/>
      <c r="Z49" s="598"/>
      <c r="AA49" s="598"/>
      <c r="AB49" s="598"/>
      <c r="AC49" s="598"/>
      <c r="AD49" s="598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s="29" customFormat="1" ht="30">
      <c r="B50" s="110" t="s">
        <v>715</v>
      </c>
      <c r="C50" s="29" t="s">
        <v>716</v>
      </c>
      <c r="D50" s="649">
        <f t="shared" ref="D50:O50" si="19">D46+D39</f>
        <v>-1219.9297138662341</v>
      </c>
      <c r="E50" s="649">
        <f t="shared" si="19"/>
        <v>-967.94190399448235</v>
      </c>
      <c r="F50" s="649">
        <f>F46+F39</f>
        <v>-787.77285887598191</v>
      </c>
      <c r="G50" s="649">
        <f t="shared" si="19"/>
        <v>-488.58533956731299</v>
      </c>
      <c r="H50" s="649">
        <f t="shared" si="19"/>
        <v>-426.8378643667802</v>
      </c>
      <c r="I50" s="649">
        <f t="shared" si="19"/>
        <v>-353.67127880303633</v>
      </c>
      <c r="J50" s="649">
        <f t="shared" si="19"/>
        <v>-322.29854833697209</v>
      </c>
      <c r="K50" s="649">
        <f t="shared" si="19"/>
        <v>-446.03799047514258</v>
      </c>
      <c r="L50" s="649">
        <f t="shared" si="19"/>
        <v>-593.2454067548606</v>
      </c>
      <c r="M50" s="649">
        <f t="shared" si="19"/>
        <v>-848.58984335393689</v>
      </c>
      <c r="N50" s="649">
        <f t="shared" si="19"/>
        <v>-1161.2138670105523</v>
      </c>
      <c r="O50" s="649">
        <f t="shared" si="19"/>
        <v>-1505.2038254352119</v>
      </c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8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s="29" customFormat="1">
      <c r="B51" s="110"/>
      <c r="C51" s="29" t="s">
        <v>717</v>
      </c>
      <c r="D51" s="649">
        <f t="shared" ref="D51:O51" si="20">D47</f>
        <v>935.64807238908099</v>
      </c>
      <c r="E51" s="649">
        <f t="shared" si="20"/>
        <v>971.80386163113099</v>
      </c>
      <c r="F51" s="649">
        <f t="shared" si="20"/>
        <v>1014.779588964665</v>
      </c>
      <c r="G51" s="649">
        <f t="shared" si="20"/>
        <v>1077.1061927234682</v>
      </c>
      <c r="H51" s="649">
        <f t="shared" si="20"/>
        <v>1078.1403425406895</v>
      </c>
      <c r="I51" s="649">
        <f t="shared" si="20"/>
        <v>1084.9041266797037</v>
      </c>
      <c r="J51" s="649">
        <f t="shared" si="20"/>
        <v>1089.697566222922</v>
      </c>
      <c r="K51" s="649">
        <f t="shared" si="20"/>
        <v>1093.7887474373827</v>
      </c>
      <c r="L51" s="649">
        <f t="shared" si="20"/>
        <v>1096.9541191960709</v>
      </c>
      <c r="M51" s="649">
        <f t="shared" si="20"/>
        <v>1102.7425940253254</v>
      </c>
      <c r="N51" s="649">
        <f t="shared" si="20"/>
        <v>1108.636802812217</v>
      </c>
      <c r="O51" s="649">
        <f t="shared" si="20"/>
        <v>1113.698177378631</v>
      </c>
      <c r="P51" s="598"/>
      <c r="Q51" s="598"/>
      <c r="R51" s="598"/>
      <c r="S51" s="598"/>
      <c r="T51" s="598"/>
      <c r="U51" s="598"/>
      <c r="V51" s="598"/>
      <c r="W51" s="598"/>
      <c r="X51" s="598"/>
      <c r="Y51" s="598"/>
      <c r="Z51" s="598"/>
      <c r="AA51" s="598"/>
      <c r="AB51" s="598"/>
      <c r="AC51" s="598"/>
      <c r="AD51" s="598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s="29" customFormat="1">
      <c r="B52" s="110"/>
      <c r="C52" s="29" t="s">
        <v>718</v>
      </c>
      <c r="D52" s="649">
        <f t="shared" ref="D52:O52" si="21">D50+D51</f>
        <v>-284.28164147715313</v>
      </c>
      <c r="E52" s="649">
        <f t="shared" si="21"/>
        <v>3.8619576366486399</v>
      </c>
      <c r="F52" s="649">
        <f t="shared" si="21"/>
        <v>227.00673008868307</v>
      </c>
      <c r="G52" s="649">
        <f t="shared" si="21"/>
        <v>588.52085315615523</v>
      </c>
      <c r="H52" s="649">
        <f t="shared" si="21"/>
        <v>651.30247817390932</v>
      </c>
      <c r="I52" s="649">
        <f t="shared" si="21"/>
        <v>731.23284787666739</v>
      </c>
      <c r="J52" s="649">
        <f t="shared" si="21"/>
        <v>767.39901788594989</v>
      </c>
      <c r="K52" s="649">
        <f t="shared" si="21"/>
        <v>647.75075696224008</v>
      </c>
      <c r="L52" s="649">
        <f t="shared" si="21"/>
        <v>503.70871244121031</v>
      </c>
      <c r="M52" s="649">
        <f t="shared" si="21"/>
        <v>254.1527506713885</v>
      </c>
      <c r="N52" s="649">
        <f t="shared" si="21"/>
        <v>-52.577064198335393</v>
      </c>
      <c r="O52" s="649">
        <f t="shared" si="21"/>
        <v>-391.50564805658087</v>
      </c>
      <c r="P52" s="598"/>
      <c r="Q52" s="598"/>
      <c r="R52" s="598"/>
      <c r="S52" s="598"/>
      <c r="T52" s="598"/>
      <c r="U52" s="598"/>
      <c r="V52" s="598"/>
      <c r="W52" s="598"/>
      <c r="X52" s="598"/>
      <c r="Y52" s="598"/>
      <c r="Z52" s="598"/>
      <c r="AA52" s="598"/>
      <c r="AB52" s="598"/>
      <c r="AC52" s="598"/>
      <c r="AD52" s="598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 s="29" customFormat="1">
      <c r="B53" s="110"/>
      <c r="D53" s="649"/>
      <c r="E53" s="649"/>
      <c r="F53" s="649"/>
      <c r="G53" s="649"/>
      <c r="H53" s="649"/>
      <c r="I53" s="649"/>
      <c r="J53" s="649"/>
      <c r="K53" s="649"/>
      <c r="L53" s="649"/>
      <c r="M53" s="649"/>
      <c r="N53" s="649"/>
      <c r="O53" s="649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29" customFormat="1">
      <c r="B54" s="110" t="s">
        <v>719</v>
      </c>
      <c r="C54" s="322" t="s">
        <v>716</v>
      </c>
      <c r="D54" s="651">
        <f t="shared" ref="D54:O54" si="22">D42+D50</f>
        <v>-7263.6842065553537</v>
      </c>
      <c r="E54" s="651">
        <f t="shared" si="22"/>
        <v>-8331.5617168694043</v>
      </c>
      <c r="F54" s="651">
        <f t="shared" si="22"/>
        <v>-9791.3142657244989</v>
      </c>
      <c r="G54" s="651">
        <f t="shared" si="22"/>
        <v>-11468.641078684446</v>
      </c>
      <c r="H54" s="651">
        <f t="shared" si="22"/>
        <v>-13420.00953940742</v>
      </c>
      <c r="I54" s="651">
        <f t="shared" si="22"/>
        <v>-15018.796344397279</v>
      </c>
      <c r="J54" s="651">
        <f t="shared" si="22"/>
        <v>-15943.62103061746</v>
      </c>
      <c r="K54" s="651">
        <f t="shared" si="22"/>
        <v>-16561.202523792217</v>
      </c>
      <c r="L54" s="651">
        <f t="shared" si="22"/>
        <v>-17142.029336883559</v>
      </c>
      <c r="M54" s="651">
        <f t="shared" si="22"/>
        <v>-17872.431082080824</v>
      </c>
      <c r="N54" s="651">
        <f t="shared" si="22"/>
        <v>-18814.379177249757</v>
      </c>
      <c r="O54" s="651">
        <f t="shared" si="22"/>
        <v>-19728.627184466761</v>
      </c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>
      <c r="B55" s="13"/>
      <c r="C55" s="322" t="s">
        <v>717</v>
      </c>
      <c r="D55" s="651">
        <f t="shared" ref="D55:O55" si="23">D43+D51</f>
        <v>924.28659846856203</v>
      </c>
      <c r="E55" s="651">
        <f t="shared" si="23"/>
        <v>960.13704748861198</v>
      </c>
      <c r="F55" s="651">
        <f t="shared" si="23"/>
        <v>1002.8074346001461</v>
      </c>
      <c r="G55" s="651">
        <f t="shared" si="23"/>
        <v>1064.8286981369492</v>
      </c>
      <c r="H55" s="651">
        <f t="shared" si="23"/>
        <v>1073.8177222867373</v>
      </c>
      <c r="I55" s="651">
        <f t="shared" si="23"/>
        <v>1092.3668869206529</v>
      </c>
      <c r="J55" s="651">
        <f t="shared" si="23"/>
        <v>1110.8791184395609</v>
      </c>
      <c r="K55" s="651">
        <f t="shared" si="23"/>
        <v>1126.2587868651938</v>
      </c>
      <c r="L55" s="651">
        <f t="shared" si="23"/>
        <v>1145.6672861477678</v>
      </c>
      <c r="M55" s="651">
        <f t="shared" si="23"/>
        <v>1172.1551559126672</v>
      </c>
      <c r="N55" s="651">
        <f t="shared" si="23"/>
        <v>1192.8445799572262</v>
      </c>
      <c r="O55" s="651">
        <f t="shared" si="23"/>
        <v>1207.5621867697562</v>
      </c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</row>
    <row r="56" spans="1:58">
      <c r="B56" s="13"/>
      <c r="C56" s="322" t="s">
        <v>718</v>
      </c>
      <c r="D56" s="652">
        <f t="shared" ref="D56:O56" si="24">D54+D55</f>
        <v>-6339.3976080867915</v>
      </c>
      <c r="E56" s="652">
        <f t="shared" si="24"/>
        <v>-7371.4246693807927</v>
      </c>
      <c r="F56" s="652">
        <f t="shared" si="24"/>
        <v>-8788.5068311243522</v>
      </c>
      <c r="G56" s="652">
        <f t="shared" si="24"/>
        <v>-10403.812380547497</v>
      </c>
      <c r="H56" s="652">
        <f t="shared" si="24"/>
        <v>-12346.191817120682</v>
      </c>
      <c r="I56" s="652">
        <f t="shared" si="24"/>
        <v>-13926.429457476626</v>
      </c>
      <c r="J56" s="652">
        <f t="shared" si="24"/>
        <v>-14832.741912177898</v>
      </c>
      <c r="K56" s="652">
        <f t="shared" si="24"/>
        <v>-15434.943736927024</v>
      </c>
      <c r="L56" s="652">
        <f t="shared" si="24"/>
        <v>-15996.362050735792</v>
      </c>
      <c r="M56" s="652">
        <f t="shared" si="24"/>
        <v>-16700.275926168157</v>
      </c>
      <c r="N56" s="652">
        <f t="shared" si="24"/>
        <v>-17621.534597292532</v>
      </c>
      <c r="O56" s="652">
        <f t="shared" si="24"/>
        <v>-18521.064997697005</v>
      </c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</row>
    <row r="57" spans="1:58">
      <c r="B57" s="13"/>
      <c r="C57" s="325" t="s">
        <v>637</v>
      </c>
      <c r="D57" s="326">
        <f t="shared" ref="D57:O57" si="25">D56-D8</f>
        <v>0</v>
      </c>
      <c r="E57" s="326">
        <f t="shared" si="25"/>
        <v>0</v>
      </c>
      <c r="F57" s="326">
        <f t="shared" si="25"/>
        <v>0</v>
      </c>
      <c r="G57" s="326">
        <f t="shared" si="25"/>
        <v>0</v>
      </c>
      <c r="H57" s="326">
        <f t="shared" si="25"/>
        <v>0</v>
      </c>
      <c r="I57" s="326">
        <f t="shared" si="25"/>
        <v>0</v>
      </c>
      <c r="J57" s="326">
        <f t="shared" si="25"/>
        <v>0</v>
      </c>
      <c r="K57" s="326">
        <f t="shared" si="25"/>
        <v>0</v>
      </c>
      <c r="L57" s="326">
        <f t="shared" si="25"/>
        <v>0</v>
      </c>
      <c r="M57" s="326">
        <f t="shared" si="25"/>
        <v>0</v>
      </c>
      <c r="N57" s="326">
        <f t="shared" si="25"/>
        <v>0</v>
      </c>
      <c r="O57" s="326">
        <f t="shared" si="25"/>
        <v>0</v>
      </c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</row>
    <row r="58" spans="1:58">
      <c r="B58" s="1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58">
      <c r="A59" s="314" t="s">
        <v>720</v>
      </c>
      <c r="B59" s="315"/>
      <c r="C59" s="315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58" ht="15.75" thickBot="1">
      <c r="B60"/>
      <c r="C60" t="s">
        <v>721</v>
      </c>
      <c r="D60" s="154">
        <f t="shared" ref="D60:O60" si="26">D3</f>
        <v>14324.939761410242</v>
      </c>
      <c r="E60" s="154">
        <f t="shared" si="26"/>
        <v>14317.80470662593</v>
      </c>
      <c r="F60" s="154">
        <f t="shared" si="26"/>
        <v>14265.724646237953</v>
      </c>
      <c r="G60" s="154">
        <f t="shared" si="26"/>
        <v>14160.752676811388</v>
      </c>
      <c r="H60" s="154">
        <f t="shared" si="26"/>
        <v>13999.450981563212</v>
      </c>
      <c r="I60" s="154">
        <f t="shared" si="26"/>
        <v>13848.929881369118</v>
      </c>
      <c r="J60" s="154">
        <f t="shared" si="26"/>
        <v>13685.207202809144</v>
      </c>
      <c r="K60" s="154">
        <f t="shared" si="26"/>
        <v>13499.240186713459</v>
      </c>
      <c r="L60" s="154">
        <f t="shared" si="26"/>
        <v>13296.382676378276</v>
      </c>
      <c r="M60" s="154">
        <f t="shared" si="26"/>
        <v>13064.209165470826</v>
      </c>
      <c r="N60" s="154">
        <f t="shared" si="26"/>
        <v>12785.29841847738</v>
      </c>
      <c r="O60" s="154">
        <f t="shared" si="26"/>
        <v>12510.455809503019</v>
      </c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</row>
    <row r="61" spans="1:58" ht="31.5" thickTop="1" thickBot="1">
      <c r="B61" s="12" t="s">
        <v>722</v>
      </c>
      <c r="C61" t="s">
        <v>723</v>
      </c>
      <c r="D61" s="154">
        <f t="shared" ref="D61:O61" si="27">D$4*0.327</f>
        <v>5058.0932338301436</v>
      </c>
      <c r="E61" s="154">
        <f>E$4*0.327</f>
        <v>4865.761278461252</v>
      </c>
      <c r="F61" s="154">
        <f t="shared" si="27"/>
        <v>4762.7620009232251</v>
      </c>
      <c r="G61" s="154">
        <f t="shared" si="27"/>
        <v>4720.6425770836768</v>
      </c>
      <c r="H61" s="154">
        <f t="shared" si="27"/>
        <v>4421.4655582896712</v>
      </c>
      <c r="I61" s="154">
        <f t="shared" si="27"/>
        <v>4221.6751595079413</v>
      </c>
      <c r="J61" s="154">
        <f t="shared" si="27"/>
        <v>3802.1458294773779</v>
      </c>
      <c r="K61" s="154">
        <f t="shared" si="27"/>
        <v>3752.6264757984509</v>
      </c>
      <c r="L61" s="154">
        <f t="shared" si="27"/>
        <v>3700.1818234828806</v>
      </c>
      <c r="M61" s="154">
        <f t="shared" si="27"/>
        <v>3638.7656768922689</v>
      </c>
      <c r="N61" s="154">
        <f t="shared" si="27"/>
        <v>3574.1797670486103</v>
      </c>
      <c r="O61" s="154">
        <f t="shared" si="27"/>
        <v>3508.2732335632791</v>
      </c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</row>
    <row r="62" spans="1:58" ht="15.75" thickTop="1">
      <c r="B62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</row>
    <row r="63" spans="1:58">
      <c r="B63"/>
      <c r="D63" s="653"/>
      <c r="E63" s="653"/>
      <c r="F63" s="653"/>
      <c r="G63" s="653"/>
      <c r="H63" s="653"/>
      <c r="I63" s="653"/>
      <c r="J63" s="653"/>
      <c r="K63" s="653"/>
      <c r="L63" s="653"/>
      <c r="M63" s="653"/>
      <c r="N63" s="653"/>
      <c r="O63" s="653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</row>
    <row r="64" spans="1:58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</row>
    <row r="65" spans="1:30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</row>
    <row r="66" spans="1:30">
      <c r="B66"/>
      <c r="C66" s="1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>
      <c r="B67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</row>
    <row r="68" spans="1:30">
      <c r="B6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</row>
    <row r="69" spans="1:30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</row>
    <row r="71" spans="1:30">
      <c r="A71" s="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</row>
    <row r="72" spans="1:30"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</row>
    <row r="73" spans="1:30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</row>
    <row r="74" spans="1:30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</row>
    <row r="75" spans="1:30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341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</row>
    <row r="76" spans="1:30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341"/>
      <c r="R76" s="602"/>
      <c r="S76" s="602"/>
      <c r="T76" s="602"/>
      <c r="U76" s="602"/>
      <c r="V76" s="602"/>
      <c r="W76" s="602"/>
      <c r="X76" s="602"/>
      <c r="Y76" s="602"/>
      <c r="Z76" s="602"/>
      <c r="AA76" s="602"/>
      <c r="AB76" s="602"/>
      <c r="AC76" s="602"/>
      <c r="AD76" s="602"/>
    </row>
    <row r="77" spans="1:30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341"/>
    </row>
    <row r="78" spans="1:30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341"/>
      <c r="Q78" s="603"/>
      <c r="T78" s="6"/>
    </row>
    <row r="79" spans="1:30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341"/>
      <c r="Q79" s="341"/>
      <c r="R79" s="341"/>
      <c r="S79" s="341"/>
      <c r="T79" s="604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</row>
    <row r="80" spans="1:30">
      <c r="D80" s="14"/>
      <c r="E80" s="14"/>
      <c r="F80" s="14"/>
      <c r="G80" s="14"/>
      <c r="H80" s="14"/>
      <c r="I80" s="14"/>
      <c r="J80" s="14"/>
      <c r="K80" s="14"/>
    </row>
    <row r="81" spans="4:17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4:17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4:17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4:17"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341"/>
      <c r="Q84" s="341"/>
    </row>
  </sheetData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391-C441-485A-8459-548B1AB89834}">
  <dimension ref="A1:BO40"/>
  <sheetViews>
    <sheetView zoomScale="85" zoomScaleNormal="85" workbookViewId="0">
      <pane ySplit="1" topLeftCell="A2" activePane="bottomLeft" state="frozen"/>
      <selection pane="bottomLeft" activeCell="T27" sqref="T27"/>
    </sheetView>
  </sheetViews>
  <sheetFormatPr defaultRowHeight="15"/>
  <cols>
    <col min="1" max="1" width="20.140625" customWidth="1"/>
    <col min="2" max="2" width="27.85546875" customWidth="1"/>
    <col min="3" max="3" width="9.5703125" customWidth="1"/>
    <col min="4" max="9" width="10.5703125" bestFit="1" customWidth="1"/>
    <col min="10" max="62" width="10.7109375" bestFit="1" customWidth="1"/>
  </cols>
  <sheetData>
    <row r="1" spans="1:67" s="1" customFormat="1">
      <c r="C1" s="1">
        <v>2021</v>
      </c>
      <c r="D1" s="1">
        <v>2022</v>
      </c>
      <c r="E1" s="1">
        <v>2023</v>
      </c>
      <c r="F1" s="1">
        <v>2024</v>
      </c>
      <c r="G1" s="1">
        <v>2025</v>
      </c>
      <c r="H1" s="1">
        <v>2026</v>
      </c>
      <c r="I1" s="1">
        <v>2027</v>
      </c>
      <c r="J1" s="1">
        <v>2028</v>
      </c>
      <c r="K1" s="1">
        <v>2029</v>
      </c>
      <c r="L1" s="1">
        <v>2030</v>
      </c>
      <c r="M1" s="1">
        <v>2031</v>
      </c>
      <c r="N1" s="1">
        <v>2032</v>
      </c>
      <c r="O1" s="1">
        <v>2033</v>
      </c>
      <c r="P1" s="1">
        <v>2034</v>
      </c>
      <c r="Q1" s="1">
        <v>2035</v>
      </c>
    </row>
    <row r="2" spans="1:67" s="1" customFormat="1">
      <c r="A2" s="42" t="s">
        <v>724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67" s="1" customFormat="1">
      <c r="A3" s="1" t="s">
        <v>725</v>
      </c>
      <c r="B3" t="s">
        <v>726</v>
      </c>
      <c r="C3" s="100">
        <v>44936</v>
      </c>
      <c r="D3" s="100">
        <v>69935.999999999985</v>
      </c>
      <c r="E3" s="100">
        <v>68540</v>
      </c>
      <c r="F3" s="100">
        <v>51762.000000000015</v>
      </c>
      <c r="G3" s="100">
        <v>27930.000000000007</v>
      </c>
      <c r="H3" s="100">
        <v>26408.000000000004</v>
      </c>
      <c r="I3" s="100">
        <v>31652.044128469995</v>
      </c>
      <c r="J3" s="100">
        <v>32552.567897568337</v>
      </c>
      <c r="K3" s="100">
        <v>32302.567897568333</v>
      </c>
      <c r="L3" s="100">
        <v>37302.567897568333</v>
      </c>
      <c r="M3" s="100">
        <v>37009.4</v>
      </c>
      <c r="N3" s="100">
        <v>37009.4</v>
      </c>
      <c r="O3" s="100">
        <v>37009.4</v>
      </c>
      <c r="P3" s="100">
        <v>37009.4</v>
      </c>
      <c r="Q3" s="100">
        <v>37009.4</v>
      </c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  <c r="BF3" s="614"/>
      <c r="BG3" s="614"/>
      <c r="BH3" s="614"/>
      <c r="BI3" s="614"/>
      <c r="BJ3" s="614"/>
    </row>
    <row r="4" spans="1:67" s="1" customFormat="1">
      <c r="B4" t="s">
        <v>727</v>
      </c>
      <c r="C4" s="100">
        <v>3947.3754025791218</v>
      </c>
      <c r="D4" s="100">
        <v>6874.1620393486237</v>
      </c>
      <c r="E4" s="100">
        <v>7786.0846666666675</v>
      </c>
      <c r="F4" s="100">
        <v>9043.7489999999998</v>
      </c>
      <c r="G4" s="100">
        <v>1769</v>
      </c>
      <c r="H4" s="100">
        <v>624</v>
      </c>
      <c r="I4" s="100">
        <v>545</v>
      </c>
      <c r="J4" s="100">
        <v>545</v>
      </c>
      <c r="K4" s="100">
        <v>345</v>
      </c>
      <c r="L4" s="100">
        <v>2845</v>
      </c>
      <c r="M4" s="100">
        <v>2845</v>
      </c>
      <c r="N4" s="100">
        <v>2845</v>
      </c>
      <c r="O4" s="100">
        <v>2845</v>
      </c>
      <c r="P4" s="100">
        <v>2845</v>
      </c>
      <c r="Q4" s="100">
        <v>2845</v>
      </c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614"/>
      <c r="AS4" s="614"/>
      <c r="AT4" s="614"/>
      <c r="AU4" s="614"/>
      <c r="AV4" s="614"/>
      <c r="AW4" s="614"/>
      <c r="AX4" s="614"/>
      <c r="AY4" s="614"/>
      <c r="AZ4" s="614"/>
      <c r="BA4" s="614"/>
      <c r="BB4" s="614"/>
      <c r="BC4" s="614"/>
      <c r="BD4" s="614"/>
      <c r="BE4" s="614"/>
      <c r="BF4" s="614"/>
      <c r="BG4" s="614"/>
      <c r="BH4" s="614"/>
      <c r="BI4" s="614"/>
      <c r="BJ4" s="614"/>
    </row>
    <row r="5" spans="1:67" s="1" customFormat="1">
      <c r="A5" s="1" t="s">
        <v>728</v>
      </c>
      <c r="B5" t="s">
        <v>726</v>
      </c>
      <c r="C5" s="100">
        <v>2246.8404303180728</v>
      </c>
      <c r="D5" s="100">
        <v>2760.7765920106708</v>
      </c>
      <c r="E5" s="100">
        <v>1010</v>
      </c>
      <c r="F5" s="100">
        <v>1010</v>
      </c>
      <c r="G5" s="100">
        <v>1010</v>
      </c>
      <c r="H5" s="100">
        <v>1010</v>
      </c>
      <c r="I5" s="100">
        <v>1010</v>
      </c>
      <c r="J5" s="100">
        <v>1010</v>
      </c>
      <c r="K5" s="100">
        <v>1010</v>
      </c>
      <c r="L5" s="100">
        <v>1010</v>
      </c>
      <c r="M5" s="100">
        <v>1010</v>
      </c>
      <c r="N5" s="100">
        <v>1010</v>
      </c>
      <c r="O5" s="100">
        <v>1010</v>
      </c>
      <c r="P5" s="100">
        <v>1010</v>
      </c>
      <c r="Q5" s="100">
        <v>1010</v>
      </c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4"/>
      <c r="AV5" s="614"/>
      <c r="AW5" s="614"/>
      <c r="AX5" s="614"/>
      <c r="AY5" s="614"/>
      <c r="AZ5" s="614"/>
      <c r="BA5" s="614"/>
      <c r="BB5" s="614"/>
      <c r="BC5" s="614"/>
      <c r="BD5" s="614"/>
      <c r="BE5" s="614"/>
      <c r="BF5" s="614"/>
      <c r="BG5" s="614"/>
      <c r="BH5" s="614"/>
      <c r="BI5" s="614"/>
      <c r="BJ5" s="614"/>
    </row>
    <row r="6" spans="1:67" s="1" customFormat="1">
      <c r="B6" t="s">
        <v>729</v>
      </c>
      <c r="C6" s="100">
        <v>1345.7260632126661</v>
      </c>
      <c r="D6" s="100">
        <v>215.22595682293809</v>
      </c>
      <c r="E6" s="100">
        <v>120</v>
      </c>
      <c r="F6" s="100">
        <v>120</v>
      </c>
      <c r="G6" s="100">
        <v>120</v>
      </c>
      <c r="H6" s="100">
        <v>120</v>
      </c>
      <c r="I6" s="100">
        <v>120</v>
      </c>
      <c r="J6" s="100">
        <v>120</v>
      </c>
      <c r="K6" s="100">
        <v>120</v>
      </c>
      <c r="L6" s="100">
        <v>120</v>
      </c>
      <c r="M6" s="100">
        <v>120</v>
      </c>
      <c r="N6" s="100">
        <v>120</v>
      </c>
      <c r="O6" s="100">
        <v>120</v>
      </c>
      <c r="P6" s="100">
        <v>120</v>
      </c>
      <c r="Q6" s="100">
        <v>120</v>
      </c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4"/>
      <c r="AK6" s="614"/>
      <c r="AL6" s="614"/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4"/>
      <c r="AZ6" s="614"/>
      <c r="BA6" s="614"/>
      <c r="BB6" s="614"/>
      <c r="BC6" s="614"/>
      <c r="BD6" s="614"/>
      <c r="BE6" s="614"/>
      <c r="BF6" s="614"/>
      <c r="BG6" s="614"/>
      <c r="BH6" s="614"/>
      <c r="BI6" s="614"/>
      <c r="BJ6" s="614"/>
    </row>
    <row r="7" spans="1:67" s="1" customFormat="1">
      <c r="B7" t="s">
        <v>727</v>
      </c>
      <c r="C7" s="100">
        <v>117.47708940345299</v>
      </c>
      <c r="D7" s="100">
        <v>117.47708940345299</v>
      </c>
      <c r="E7" s="100">
        <v>117.47708940345294</v>
      </c>
      <c r="F7" s="100">
        <v>117.47708940345294</v>
      </c>
      <c r="G7" s="100">
        <v>117.47708940345294</v>
      </c>
      <c r="H7" s="100">
        <v>117.47708940345294</v>
      </c>
      <c r="I7" s="100">
        <v>117.47708940345294</v>
      </c>
      <c r="J7" s="100">
        <v>117.47708940345294</v>
      </c>
      <c r="K7" s="100">
        <v>117.47708940345294</v>
      </c>
      <c r="L7" s="100">
        <v>117.47708940345294</v>
      </c>
      <c r="M7" s="100">
        <v>117.47708940345294</v>
      </c>
      <c r="N7" s="100">
        <v>117.47708940345294</v>
      </c>
      <c r="O7" s="100">
        <v>117.47708940345294</v>
      </c>
      <c r="P7" s="100">
        <v>117.47708940345294</v>
      </c>
      <c r="Q7" s="100">
        <v>117.47708940345294</v>
      </c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4"/>
      <c r="AR7" s="614"/>
      <c r="AS7" s="614"/>
      <c r="AT7" s="614"/>
      <c r="AU7" s="614"/>
      <c r="AV7" s="614"/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614"/>
      <c r="BI7" s="614"/>
      <c r="BJ7" s="614"/>
    </row>
    <row r="8" spans="1:67" s="1" customFormat="1">
      <c r="B8" t="s">
        <v>730</v>
      </c>
      <c r="C8" s="100">
        <v>575.12520559401673</v>
      </c>
      <c r="D8" s="100">
        <v>575.12520559401673</v>
      </c>
      <c r="E8" s="100">
        <v>574.92243413575056</v>
      </c>
      <c r="F8" s="100">
        <v>574.92243413575056</v>
      </c>
      <c r="G8" s="100">
        <v>574.92243413575056</v>
      </c>
      <c r="H8" s="100">
        <v>574.92243413575056</v>
      </c>
      <c r="I8" s="100">
        <v>574.92243413575056</v>
      </c>
      <c r="J8" s="100">
        <v>574.92243413575056</v>
      </c>
      <c r="K8" s="100">
        <v>574.92243413575056</v>
      </c>
      <c r="L8" s="100">
        <v>574.92243413575056</v>
      </c>
      <c r="M8" s="100">
        <v>574.92243413575056</v>
      </c>
      <c r="N8" s="100">
        <v>574.92243413575056</v>
      </c>
      <c r="O8" s="100">
        <v>574.92243413575056</v>
      </c>
      <c r="P8" s="100">
        <v>574.92243413575056</v>
      </c>
      <c r="Q8" s="100">
        <v>574.92243413575056</v>
      </c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614"/>
      <c r="AO8" s="614"/>
      <c r="AP8" s="614"/>
      <c r="AQ8" s="614"/>
      <c r="AR8" s="614"/>
      <c r="AS8" s="614"/>
      <c r="AT8" s="614"/>
      <c r="AU8" s="614"/>
      <c r="AV8" s="614"/>
      <c r="AW8" s="614"/>
      <c r="AX8" s="614"/>
      <c r="AY8" s="614"/>
      <c r="AZ8" s="614"/>
      <c r="BA8" s="614"/>
      <c r="BB8" s="614"/>
      <c r="BC8" s="614"/>
      <c r="BD8" s="614"/>
      <c r="BE8" s="614"/>
      <c r="BF8" s="614"/>
      <c r="BG8" s="614"/>
      <c r="BH8" s="614"/>
      <c r="BI8" s="614"/>
      <c r="BJ8" s="614"/>
    </row>
    <row r="9" spans="1:67" s="1" customFormat="1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</row>
    <row r="10" spans="1:67">
      <c r="A10" s="1" t="s">
        <v>731</v>
      </c>
      <c r="B10" t="s">
        <v>732</v>
      </c>
      <c r="C10" s="88">
        <v>-9513.5363837065888</v>
      </c>
      <c r="D10" s="88">
        <v>-7898.1789472140263</v>
      </c>
      <c r="E10" s="88">
        <v>-7199.2990264406408</v>
      </c>
      <c r="F10" s="88">
        <v>-7386.8776068296411</v>
      </c>
      <c r="G10" s="88">
        <v>-8439.3821057495661</v>
      </c>
      <c r="H10" s="88">
        <v>-9908.9217602937151</v>
      </c>
      <c r="I10" s="88">
        <v>-11598.957037196406</v>
      </c>
      <c r="J10" s="88">
        <v>-13539.023740340828</v>
      </c>
      <c r="K10" s="88">
        <v>-15123.440578350519</v>
      </c>
      <c r="L10" s="88">
        <v>-16016.521779889003</v>
      </c>
      <c r="M10" s="88">
        <v>-16605.042827608409</v>
      </c>
      <c r="N10" s="88">
        <v>-17165.141663822313</v>
      </c>
      <c r="O10" s="88">
        <v>-17852.453687921588</v>
      </c>
      <c r="P10" s="88">
        <v>-18753.205239114512</v>
      </c>
      <c r="Q10" s="88">
        <v>-19637.841114971729</v>
      </c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5"/>
      <c r="AQ10" s="615"/>
      <c r="AR10" s="615"/>
      <c r="AS10" s="615"/>
      <c r="AT10" s="615"/>
      <c r="AU10" s="615"/>
      <c r="AV10" s="615"/>
      <c r="AW10" s="615"/>
      <c r="AX10" s="615"/>
      <c r="AY10" s="615"/>
      <c r="AZ10" s="615"/>
      <c r="BA10" s="615"/>
      <c r="BB10" s="615"/>
      <c r="BC10" s="615"/>
      <c r="BD10" s="615"/>
      <c r="BE10" s="615"/>
      <c r="BF10" s="615"/>
      <c r="BG10" s="615"/>
      <c r="BH10" s="615"/>
      <c r="BI10" s="615"/>
      <c r="BJ10" s="615"/>
    </row>
    <row r="11" spans="1:67">
      <c r="B11" t="s">
        <v>733</v>
      </c>
      <c r="C11" s="88">
        <v>3366.0965705063127</v>
      </c>
      <c r="D11" s="88">
        <v>2459.7941850510933</v>
      </c>
      <c r="E11" s="88">
        <v>904.22104465027439</v>
      </c>
      <c r="F11" s="88">
        <v>924.28659846856203</v>
      </c>
      <c r="G11" s="88">
        <v>960.13704748861198</v>
      </c>
      <c r="H11" s="88">
        <v>1002.8074346001461</v>
      </c>
      <c r="I11" s="88">
        <v>1064.8286981369492</v>
      </c>
      <c r="J11" s="88">
        <v>1073.8177222867373</v>
      </c>
      <c r="K11" s="88">
        <v>1092.3668869206529</v>
      </c>
      <c r="L11" s="88">
        <v>1110.8791184395607</v>
      </c>
      <c r="M11" s="88">
        <v>1126.2587868651938</v>
      </c>
      <c r="N11" s="88">
        <v>1145.6672861477678</v>
      </c>
      <c r="O11" s="88">
        <v>1172.1551559126672</v>
      </c>
      <c r="P11" s="88">
        <v>1192.8445799572262</v>
      </c>
      <c r="Q11" s="88">
        <v>1207.5621867697562</v>
      </c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6"/>
      <c r="BL11" s="616"/>
      <c r="BM11" s="616"/>
      <c r="BN11" s="616"/>
      <c r="BO11" s="616"/>
    </row>
    <row r="12" spans="1:67" s="1" customFormat="1" ht="15.75" thickBot="1">
      <c r="A12" s="56"/>
      <c r="B12" s="56" t="s">
        <v>734</v>
      </c>
      <c r="C12" s="719">
        <f t="shared" ref="C12:Q12" si="0">C10+C11</f>
        <v>-6147.4398132002761</v>
      </c>
      <c r="D12" s="719">
        <f t="shared" si="0"/>
        <v>-5438.3847621629329</v>
      </c>
      <c r="E12" s="719">
        <f t="shared" si="0"/>
        <v>-6295.0779817903667</v>
      </c>
      <c r="F12" s="719">
        <f t="shared" si="0"/>
        <v>-6462.5910083610788</v>
      </c>
      <c r="G12" s="719">
        <f t="shared" si="0"/>
        <v>-7479.2450582609545</v>
      </c>
      <c r="H12" s="719">
        <f t="shared" si="0"/>
        <v>-8906.1143256935684</v>
      </c>
      <c r="I12" s="719">
        <f t="shared" si="0"/>
        <v>-10534.128339059456</v>
      </c>
      <c r="J12" s="719">
        <f t="shared" si="0"/>
        <v>-12465.20601805409</v>
      </c>
      <c r="K12" s="719">
        <f t="shared" si="0"/>
        <v>-14031.073691429867</v>
      </c>
      <c r="L12" s="719">
        <f t="shared" si="0"/>
        <v>-14905.642661449441</v>
      </c>
      <c r="M12" s="719">
        <f t="shared" si="0"/>
        <v>-15478.784040743216</v>
      </c>
      <c r="N12" s="719">
        <f t="shared" si="0"/>
        <v>-16019.474377674545</v>
      </c>
      <c r="O12" s="719">
        <f t="shared" si="0"/>
        <v>-16680.298532008921</v>
      </c>
      <c r="P12" s="719">
        <f t="shared" si="0"/>
        <v>-17560.360659157286</v>
      </c>
      <c r="Q12" s="719">
        <f t="shared" si="0"/>
        <v>-18430.278928201973</v>
      </c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7"/>
      <c r="BL12" s="617"/>
      <c r="BM12" s="617"/>
      <c r="BN12" s="617"/>
      <c r="BO12" s="617"/>
    </row>
    <row r="13" spans="1:67" ht="15.75" thickTop="1">
      <c r="B13" t="s">
        <v>735</v>
      </c>
      <c r="C13" s="14">
        <f>'ERP2 New measures - detailed'!D26</f>
        <v>-6067.3</v>
      </c>
      <c r="D13" s="14">
        <f>'ERP2 New measures - detailed'!E26</f>
        <v>-5279.6</v>
      </c>
      <c r="E13" s="14">
        <f>'ERP2 New measures - detailed'!F26</f>
        <v>-6179.4212536392924</v>
      </c>
      <c r="F13" s="14">
        <f>'ERP2 New measures - detailed'!G26</f>
        <v>-6339.3976080867915</v>
      </c>
      <c r="G13" s="14">
        <f>'ERP2 New measures - detailed'!H26</f>
        <v>-7371.4246693807936</v>
      </c>
      <c r="H13" s="14">
        <f>'ERP2 New measures - detailed'!I26</f>
        <v>-8788.5068311243522</v>
      </c>
      <c r="I13" s="14">
        <f>'ERP2 New measures - detailed'!J26</f>
        <v>-10403.812380547497</v>
      </c>
      <c r="J13" s="14">
        <f>'ERP2 New measures - detailed'!K26</f>
        <v>-12346.191817120682</v>
      </c>
      <c r="K13" s="14">
        <f>'ERP2 New measures - detailed'!L26</f>
        <v>-13926.429457476626</v>
      </c>
      <c r="L13" s="14">
        <f>'ERP2 New measures - detailed'!M26</f>
        <v>-14832.741912177898</v>
      </c>
      <c r="M13" s="14">
        <f>'ERP2 New measures - detailed'!N26</f>
        <v>-15434.943736927024</v>
      </c>
      <c r="N13" s="14">
        <f>'ERP2 New measures - detailed'!O26</f>
        <v>-15996.362050735792</v>
      </c>
      <c r="O13" s="14">
        <f>'ERP2 New measures - detailed'!P26</f>
        <v>-16700.275926168157</v>
      </c>
      <c r="P13" s="14">
        <f>'ERP2 New measures - detailed'!Q26</f>
        <v>-17621.534597292532</v>
      </c>
      <c r="Q13" s="14">
        <f>'ERP2 New measures - detailed'!R26</f>
        <v>-18521.064997697005</v>
      </c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</row>
    <row r="14" spans="1:67">
      <c r="B14" t="s">
        <v>736</v>
      </c>
      <c r="C14" s="14">
        <f t="shared" ref="C14:Q14" si="1">(C12-C13)/C12</f>
        <v>1.3036290819503971E-2</v>
      </c>
      <c r="D14" s="14">
        <f t="shared" si="1"/>
        <v>2.9197044546693918E-2</v>
      </c>
      <c r="E14" s="14">
        <f t="shared" si="1"/>
        <v>1.8372564801521434E-2</v>
      </c>
      <c r="F14" s="14">
        <f t="shared" si="1"/>
        <v>1.9062540104256009E-2</v>
      </c>
      <c r="G14" s="14">
        <f t="shared" si="1"/>
        <v>1.4415945465120358E-2</v>
      </c>
      <c r="H14" s="14">
        <f t="shared" si="1"/>
        <v>1.3205253185435329E-2</v>
      </c>
      <c r="I14" s="14">
        <f t="shared" si="1"/>
        <v>1.2370834521614967E-2</v>
      </c>
      <c r="J14" s="14">
        <f t="shared" si="1"/>
        <v>9.547712309049149E-3</v>
      </c>
      <c r="K14" s="14">
        <f t="shared" si="1"/>
        <v>7.4580346632458234E-3</v>
      </c>
      <c r="L14" s="14">
        <f t="shared" si="1"/>
        <v>4.8908155741641656E-3</v>
      </c>
      <c r="M14" s="14">
        <f t="shared" si="1"/>
        <v>2.832283446864817E-3</v>
      </c>
      <c r="N14" s="14">
        <f t="shared" si="1"/>
        <v>1.4427643750261814E-3</v>
      </c>
      <c r="O14" s="14">
        <f t="shared" si="1"/>
        <v>-1.1976640658378965E-3</v>
      </c>
      <c r="P14" s="14">
        <f t="shared" si="1"/>
        <v>-3.4836379116931597E-3</v>
      </c>
      <c r="Q14" s="14">
        <f t="shared" si="1"/>
        <v>-4.9259194529124367E-3</v>
      </c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341"/>
      <c r="BG14" s="341"/>
      <c r="BH14" s="341"/>
      <c r="BI14" s="341"/>
      <c r="BJ14" s="341"/>
    </row>
    <row r="15" spans="1:67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341"/>
      <c r="BG15" s="341"/>
      <c r="BH15" s="341"/>
      <c r="BI15" s="341"/>
      <c r="BJ15" s="341"/>
    </row>
    <row r="16" spans="1:67" s="1" customFormat="1">
      <c r="A16" s="26" t="s">
        <v>737</v>
      </c>
      <c r="B16" s="2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76"/>
      <c r="S16" s="176"/>
      <c r="T16" s="176"/>
      <c r="U16" s="176"/>
      <c r="V16" s="176"/>
      <c r="W16" s="176"/>
      <c r="X16" s="176"/>
      <c r="Y16" s="176"/>
      <c r="Z16" s="176"/>
      <c r="AA16" s="176"/>
    </row>
    <row r="17" spans="1:62" s="1" customFormat="1">
      <c r="A17" s="1" t="s">
        <v>725</v>
      </c>
      <c r="B17" s="1" t="s">
        <v>726</v>
      </c>
      <c r="C17" s="89">
        <v>44936</v>
      </c>
      <c r="D17" s="89">
        <v>69935.999999999985</v>
      </c>
      <c r="E17" s="89">
        <v>68540</v>
      </c>
      <c r="F17" s="89">
        <v>51762.000000000015</v>
      </c>
      <c r="G17" s="89">
        <v>27930.000000000007</v>
      </c>
      <c r="H17" s="89">
        <v>26408.000000000004</v>
      </c>
      <c r="I17" s="89">
        <v>26652.044128469995</v>
      </c>
      <c r="J17" s="89">
        <v>27552.567897568337</v>
      </c>
      <c r="K17" s="89">
        <v>27302.567897568333</v>
      </c>
      <c r="L17" s="89">
        <v>27302.567897568333</v>
      </c>
      <c r="M17" s="89">
        <v>27009.4</v>
      </c>
      <c r="N17" s="89">
        <v>27009.4</v>
      </c>
      <c r="O17" s="89">
        <v>27009.4</v>
      </c>
      <c r="P17" s="89">
        <v>27009.4</v>
      </c>
      <c r="Q17" s="89">
        <v>27009.4</v>
      </c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  <c r="AN17" s="614"/>
      <c r="AO17" s="614"/>
      <c r="AP17" s="614"/>
      <c r="AQ17" s="614"/>
      <c r="AR17" s="614"/>
      <c r="AS17" s="614"/>
      <c r="AT17" s="614"/>
      <c r="AU17" s="614"/>
      <c r="AV17" s="614"/>
      <c r="AW17" s="614"/>
      <c r="AX17" s="614"/>
      <c r="AY17" s="614"/>
      <c r="AZ17" s="614"/>
      <c r="BA17" s="614"/>
      <c r="BB17" s="614"/>
      <c r="BC17" s="614"/>
      <c r="BD17" s="614"/>
      <c r="BE17" s="614"/>
      <c r="BF17" s="614"/>
      <c r="BG17" s="614"/>
      <c r="BH17" s="614"/>
      <c r="BI17" s="614"/>
      <c r="BJ17" s="614"/>
    </row>
    <row r="18" spans="1:62" s="1" customFormat="1">
      <c r="B18" s="1" t="s">
        <v>727</v>
      </c>
      <c r="C18" s="89">
        <v>3947.3754025791218</v>
      </c>
      <c r="D18" s="89">
        <v>6874.1620393486237</v>
      </c>
      <c r="E18" s="89">
        <v>7786.0846666666675</v>
      </c>
      <c r="F18" s="89">
        <v>9043.7489999999998</v>
      </c>
      <c r="G18" s="89">
        <v>1769</v>
      </c>
      <c r="H18" s="89">
        <v>624</v>
      </c>
      <c r="I18" s="89">
        <v>545</v>
      </c>
      <c r="J18" s="89">
        <v>545</v>
      </c>
      <c r="K18" s="89">
        <v>345</v>
      </c>
      <c r="L18" s="89">
        <v>345</v>
      </c>
      <c r="M18" s="89">
        <v>345</v>
      </c>
      <c r="N18" s="89">
        <v>345</v>
      </c>
      <c r="O18" s="89">
        <v>345</v>
      </c>
      <c r="P18" s="89">
        <v>345</v>
      </c>
      <c r="Q18" s="89">
        <v>345</v>
      </c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4"/>
      <c r="AG18" s="614"/>
      <c r="AH18" s="614"/>
      <c r="AI18" s="614"/>
      <c r="AJ18" s="614"/>
      <c r="AK18" s="614"/>
      <c r="AL18" s="614"/>
      <c r="AM18" s="614"/>
      <c r="AN18" s="614"/>
      <c r="AO18" s="614"/>
      <c r="AP18" s="614"/>
      <c r="AQ18" s="614"/>
      <c r="AR18" s="614"/>
      <c r="AS18" s="614"/>
      <c r="AT18" s="614"/>
      <c r="AU18" s="614"/>
      <c r="AV18" s="614"/>
      <c r="AW18" s="614"/>
      <c r="AX18" s="614"/>
      <c r="AY18" s="614"/>
      <c r="AZ18" s="614"/>
      <c r="BA18" s="614"/>
      <c r="BB18" s="614"/>
      <c r="BC18" s="614"/>
      <c r="BD18" s="614"/>
      <c r="BE18" s="614"/>
      <c r="BF18" s="614"/>
      <c r="BG18" s="614"/>
      <c r="BH18" s="614"/>
      <c r="BI18" s="614"/>
      <c r="BJ18" s="614"/>
    </row>
    <row r="19" spans="1:62" s="1" customFormat="1">
      <c r="A19" s="1" t="s">
        <v>728</v>
      </c>
      <c r="B19" s="1" t="s">
        <v>726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  <c r="AG19" s="614"/>
      <c r="AH19" s="614"/>
      <c r="AI19" s="614"/>
      <c r="AJ19" s="614"/>
      <c r="AK19" s="614"/>
      <c r="AL19" s="614"/>
      <c r="AM19" s="614"/>
      <c r="AN19" s="614"/>
      <c r="AO19" s="614"/>
      <c r="AP19" s="614"/>
      <c r="AQ19" s="614"/>
      <c r="AR19" s="614"/>
      <c r="AS19" s="614"/>
      <c r="AT19" s="614"/>
      <c r="AU19" s="614"/>
      <c r="AV19" s="614"/>
      <c r="AW19" s="614"/>
      <c r="AX19" s="614"/>
      <c r="AY19" s="614"/>
      <c r="AZ19" s="614"/>
      <c r="BA19" s="614"/>
      <c r="BB19" s="614"/>
      <c r="BC19" s="614"/>
      <c r="BD19" s="614"/>
      <c r="BE19" s="614"/>
      <c r="BF19" s="614"/>
      <c r="BG19" s="614"/>
      <c r="BH19" s="614"/>
      <c r="BI19" s="614"/>
      <c r="BJ19" s="614"/>
    </row>
    <row r="20" spans="1:62" s="1" customFormat="1">
      <c r="B20" s="1" t="s">
        <v>729</v>
      </c>
      <c r="C20" s="89">
        <v>1345.7260632126661</v>
      </c>
      <c r="D20" s="89">
        <v>215.22595682293809</v>
      </c>
      <c r="E20" s="89">
        <v>120</v>
      </c>
      <c r="F20" s="89">
        <v>120</v>
      </c>
      <c r="G20" s="89">
        <v>120</v>
      </c>
      <c r="H20" s="89">
        <v>120</v>
      </c>
      <c r="I20" s="89">
        <v>120</v>
      </c>
      <c r="J20" s="89">
        <v>120</v>
      </c>
      <c r="K20" s="89">
        <v>120</v>
      </c>
      <c r="L20" s="89">
        <v>120</v>
      </c>
      <c r="M20" s="89">
        <v>120</v>
      </c>
      <c r="N20" s="89">
        <v>120</v>
      </c>
      <c r="O20" s="89">
        <v>120</v>
      </c>
      <c r="P20" s="89">
        <v>120</v>
      </c>
      <c r="Q20" s="89">
        <v>120</v>
      </c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4"/>
      <c r="AG20" s="614"/>
      <c r="AH20" s="614"/>
      <c r="AI20" s="614"/>
      <c r="AJ20" s="614"/>
      <c r="AK20" s="614"/>
      <c r="AL20" s="614"/>
      <c r="AM20" s="614"/>
      <c r="AN20" s="614"/>
      <c r="AO20" s="614"/>
      <c r="AP20" s="614"/>
      <c r="AQ20" s="614"/>
      <c r="AR20" s="614"/>
      <c r="AS20" s="614"/>
      <c r="AT20" s="614"/>
      <c r="AU20" s="614"/>
      <c r="AV20" s="614"/>
      <c r="AW20" s="614"/>
      <c r="AX20" s="614"/>
      <c r="AY20" s="614"/>
      <c r="AZ20" s="614"/>
      <c r="BA20" s="614"/>
      <c r="BB20" s="614"/>
      <c r="BC20" s="614"/>
      <c r="BD20" s="614"/>
      <c r="BE20" s="614"/>
      <c r="BF20" s="614"/>
      <c r="BG20" s="614"/>
      <c r="BH20" s="614"/>
      <c r="BI20" s="614"/>
      <c r="BJ20" s="614"/>
    </row>
    <row r="21" spans="1:62" s="1" customFormat="1">
      <c r="B21" s="1" t="s">
        <v>738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4"/>
      <c r="AG21" s="614"/>
      <c r="AH21" s="614"/>
      <c r="AI21" s="614"/>
      <c r="AJ21" s="614"/>
      <c r="AK21" s="614"/>
      <c r="AL21" s="614"/>
      <c r="AM21" s="614"/>
      <c r="AN21" s="614"/>
      <c r="AO21" s="614"/>
      <c r="AP21" s="614"/>
      <c r="AQ21" s="614"/>
      <c r="AR21" s="614"/>
      <c r="AS21" s="614"/>
      <c r="AT21" s="614"/>
      <c r="AU21" s="614"/>
      <c r="AV21" s="614"/>
      <c r="AW21" s="614"/>
      <c r="AX21" s="614"/>
      <c r="AY21" s="614"/>
      <c r="AZ21" s="614"/>
      <c r="BA21" s="614"/>
      <c r="BB21" s="614"/>
      <c r="BC21" s="614"/>
      <c r="BD21" s="614"/>
      <c r="BE21" s="614"/>
      <c r="BF21" s="614"/>
      <c r="BG21" s="614"/>
      <c r="BH21" s="614"/>
      <c r="BI21" s="614"/>
      <c r="BJ21" s="614"/>
    </row>
    <row r="22" spans="1:62" s="1" customFormat="1">
      <c r="B22" s="1" t="s">
        <v>739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4"/>
      <c r="AI22" s="614"/>
      <c r="AJ22" s="614"/>
      <c r="AK22" s="614"/>
      <c r="AL22" s="614"/>
      <c r="AM22" s="614"/>
      <c r="AN22" s="614"/>
      <c r="AO22" s="614"/>
      <c r="AP22" s="614"/>
      <c r="AQ22" s="614"/>
      <c r="AR22" s="614"/>
      <c r="AS22" s="614"/>
      <c r="AT22" s="614"/>
      <c r="AU22" s="614"/>
      <c r="AV22" s="614"/>
      <c r="AW22" s="614"/>
      <c r="AX22" s="614"/>
      <c r="AY22" s="614"/>
      <c r="AZ22" s="614"/>
      <c r="BA22" s="614"/>
      <c r="BB22" s="614"/>
      <c r="BC22" s="614"/>
      <c r="BD22" s="614"/>
      <c r="BE22" s="614"/>
      <c r="BF22" s="614"/>
      <c r="BG22" s="614"/>
      <c r="BH22" s="614"/>
      <c r="BI22" s="614"/>
      <c r="BJ22" s="614"/>
    </row>
    <row r="23" spans="1:62" s="1" customFormat="1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</row>
    <row r="24" spans="1:62">
      <c r="A24" s="1" t="s">
        <v>731</v>
      </c>
      <c r="B24" t="s">
        <v>732</v>
      </c>
      <c r="C24" s="88">
        <v>-6942.606264181708</v>
      </c>
      <c r="D24" s="88">
        <v>-5880.9685900899467</v>
      </c>
      <c r="E24" s="88">
        <v>-5617.8588409445192</v>
      </c>
      <c r="F24" s="88">
        <v>-6043.7544926891196</v>
      </c>
      <c r="G24" s="88">
        <v>-7363.6198128749229</v>
      </c>
      <c r="H24" s="88">
        <v>-9003.541406848517</v>
      </c>
      <c r="I24" s="88">
        <v>-10980.055739117133</v>
      </c>
      <c r="J24" s="88">
        <v>-12993.171675040639</v>
      </c>
      <c r="K24" s="88">
        <v>-14665.125065594242</v>
      </c>
      <c r="L24" s="88">
        <v>-15621.322482280488</v>
      </c>
      <c r="M24" s="88">
        <v>-16115.164533317075</v>
      </c>
      <c r="N24" s="88">
        <v>-16548.783930128699</v>
      </c>
      <c r="O24" s="88">
        <v>-17023.841238726887</v>
      </c>
      <c r="P24" s="88">
        <v>-17653.165310239205</v>
      </c>
      <c r="Q24" s="88">
        <v>-18223.423359031549</v>
      </c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  <c r="BF24" s="618"/>
      <c r="BG24" s="618"/>
      <c r="BH24" s="618"/>
      <c r="BI24" s="618"/>
      <c r="BJ24" s="618"/>
    </row>
    <row r="25" spans="1:62">
      <c r="B25" t="s">
        <v>733</v>
      </c>
      <c r="C25" s="88">
        <v>1452.7607708327109</v>
      </c>
      <c r="D25" s="88">
        <v>108.0315619237355</v>
      </c>
      <c r="E25" s="88">
        <v>-11.056133698518977</v>
      </c>
      <c r="F25" s="88">
        <v>-11.361473920518989</v>
      </c>
      <c r="G25" s="88">
        <v>-11.666814142518973</v>
      </c>
      <c r="H25" s="88">
        <v>-11.972154364518985</v>
      </c>
      <c r="I25" s="88">
        <v>-12.277494586518969</v>
      </c>
      <c r="J25" s="88">
        <v>-4.3226202539522092</v>
      </c>
      <c r="K25" s="88">
        <v>7.4627602409491658</v>
      </c>
      <c r="L25" s="88">
        <v>21.181552216638806</v>
      </c>
      <c r="M25" s="88">
        <v>32.470039427811059</v>
      </c>
      <c r="N25" s="88">
        <v>48.713166951696877</v>
      </c>
      <c r="O25" s="88">
        <v>69.412561887341752</v>
      </c>
      <c r="P25" s="88">
        <v>84.207777145009175</v>
      </c>
      <c r="Q25" s="88">
        <v>93.864009391125052</v>
      </c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</row>
    <row r="26" spans="1:62" s="1" customFormat="1" ht="15.75" thickBot="1">
      <c r="A26" s="56"/>
      <c r="B26" s="56" t="s">
        <v>740</v>
      </c>
      <c r="C26" s="719">
        <f t="shared" ref="C26:Q26" si="2">C24+C25</f>
        <v>-5489.8454933489975</v>
      </c>
      <c r="D26" s="719">
        <f t="shared" si="2"/>
        <v>-5772.9370281662113</v>
      </c>
      <c r="E26" s="719">
        <f t="shared" si="2"/>
        <v>-5628.9149746430385</v>
      </c>
      <c r="F26" s="719">
        <f t="shared" si="2"/>
        <v>-6055.1159666096382</v>
      </c>
      <c r="G26" s="719">
        <f t="shared" si="2"/>
        <v>-7375.2866270174418</v>
      </c>
      <c r="H26" s="719">
        <f t="shared" si="2"/>
        <v>-9015.5135612130362</v>
      </c>
      <c r="I26" s="719">
        <f t="shared" si="2"/>
        <v>-10992.333233703652</v>
      </c>
      <c r="J26" s="719">
        <f t="shared" si="2"/>
        <v>-12997.494295294591</v>
      </c>
      <c r="K26" s="719">
        <f t="shared" si="2"/>
        <v>-14657.662305353293</v>
      </c>
      <c r="L26" s="719">
        <f t="shared" si="2"/>
        <v>-15600.14093006385</v>
      </c>
      <c r="M26" s="719">
        <f t="shared" si="2"/>
        <v>-16082.694493889263</v>
      </c>
      <c r="N26" s="719">
        <f t="shared" si="2"/>
        <v>-16500.070763177002</v>
      </c>
      <c r="O26" s="719">
        <f t="shared" si="2"/>
        <v>-16954.428676839547</v>
      </c>
      <c r="P26" s="719">
        <f t="shared" si="2"/>
        <v>-17568.957533094195</v>
      </c>
      <c r="Q26" s="719">
        <f t="shared" si="2"/>
        <v>-18129.559349640425</v>
      </c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  <c r="AH26" s="614"/>
      <c r="AI26" s="614"/>
      <c r="AJ26" s="614"/>
      <c r="AK26" s="614"/>
      <c r="AL26" s="614"/>
      <c r="AM26" s="614"/>
      <c r="AN26" s="614"/>
      <c r="AO26" s="614"/>
      <c r="AP26" s="614"/>
      <c r="AQ26" s="614"/>
      <c r="AR26" s="614"/>
      <c r="AS26" s="614"/>
      <c r="AT26" s="614"/>
      <c r="AU26" s="614"/>
      <c r="AV26" s="614"/>
      <c r="AW26" s="614"/>
      <c r="AX26" s="614"/>
      <c r="AY26" s="614"/>
      <c r="AZ26" s="614"/>
      <c r="BA26" s="614"/>
      <c r="BB26" s="614"/>
      <c r="BC26" s="614"/>
      <c r="BD26" s="614"/>
      <c r="BE26" s="614"/>
      <c r="BF26" s="614"/>
      <c r="BG26" s="614"/>
      <c r="BH26" s="614"/>
      <c r="BI26" s="614"/>
      <c r="BJ26" s="614"/>
    </row>
    <row r="27" spans="1:62" ht="15.75" thickTop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</row>
    <row r="28" spans="1:62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</row>
    <row r="29" spans="1:62" s="1" customFormat="1">
      <c r="A29" s="321" t="s">
        <v>741</v>
      </c>
      <c r="B29" s="321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</row>
    <row r="30" spans="1:62" s="1" customFormat="1">
      <c r="A30" s="1" t="s">
        <v>725</v>
      </c>
      <c r="B30" s="1" t="s">
        <v>742</v>
      </c>
      <c r="C30" s="721">
        <v>0</v>
      </c>
      <c r="D30" s="721">
        <v>0</v>
      </c>
      <c r="E30" s="721">
        <v>0</v>
      </c>
      <c r="F30" s="721">
        <v>0</v>
      </c>
      <c r="G30" s="721">
        <v>0</v>
      </c>
      <c r="H30" s="721">
        <v>0</v>
      </c>
      <c r="I30" s="721">
        <v>5000</v>
      </c>
      <c r="J30" s="721">
        <v>5000</v>
      </c>
      <c r="K30" s="721">
        <v>5000</v>
      </c>
      <c r="L30" s="721">
        <v>10000</v>
      </c>
      <c r="M30" s="721">
        <v>10000</v>
      </c>
      <c r="N30" s="721">
        <v>10000</v>
      </c>
      <c r="O30" s="721">
        <v>10000</v>
      </c>
      <c r="P30" s="721">
        <v>10000</v>
      </c>
      <c r="Q30" s="721">
        <v>10000</v>
      </c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5"/>
      <c r="BG30" s="5"/>
      <c r="BH30" s="5"/>
      <c r="BI30" s="5"/>
      <c r="BJ30" s="5"/>
    </row>
    <row r="31" spans="1:62" s="1" customFormat="1">
      <c r="B31" s="1" t="s">
        <v>727</v>
      </c>
      <c r="C31" s="721">
        <v>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721">
        <v>0</v>
      </c>
      <c r="K31" s="721">
        <v>0</v>
      </c>
      <c r="L31" s="721">
        <v>2500</v>
      </c>
      <c r="M31" s="721">
        <v>2500</v>
      </c>
      <c r="N31" s="721">
        <v>2500</v>
      </c>
      <c r="O31" s="721">
        <v>2500</v>
      </c>
      <c r="P31" s="721">
        <v>2500</v>
      </c>
      <c r="Q31" s="721">
        <v>2500</v>
      </c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5"/>
      <c r="BG31" s="5"/>
      <c r="BH31" s="5"/>
      <c r="BI31" s="5"/>
      <c r="BJ31" s="5"/>
    </row>
    <row r="32" spans="1:62" s="1" customFormat="1">
      <c r="A32" s="1" t="s">
        <v>728</v>
      </c>
      <c r="B32" s="1" t="s">
        <v>726</v>
      </c>
      <c r="C32" s="721">
        <v>2246.8404303180728</v>
      </c>
      <c r="D32" s="721">
        <v>2760.7765920106708</v>
      </c>
      <c r="E32" s="721">
        <v>1010</v>
      </c>
      <c r="F32" s="721">
        <v>1010</v>
      </c>
      <c r="G32" s="721">
        <v>1010</v>
      </c>
      <c r="H32" s="721">
        <v>1010</v>
      </c>
      <c r="I32" s="721">
        <v>1010</v>
      </c>
      <c r="J32" s="721">
        <v>1010</v>
      </c>
      <c r="K32" s="721">
        <v>1010</v>
      </c>
      <c r="L32" s="721">
        <v>1010</v>
      </c>
      <c r="M32" s="721">
        <v>1010</v>
      </c>
      <c r="N32" s="721">
        <v>1010</v>
      </c>
      <c r="O32" s="721">
        <v>1010</v>
      </c>
      <c r="P32" s="721">
        <v>1010</v>
      </c>
      <c r="Q32" s="721">
        <v>1010</v>
      </c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5"/>
      <c r="BG32" s="5"/>
      <c r="BH32" s="5"/>
      <c r="BI32" s="5"/>
      <c r="BJ32" s="5"/>
    </row>
    <row r="33" spans="1:62" s="1" customFormat="1">
      <c r="B33" s="1" t="s">
        <v>729</v>
      </c>
      <c r="C33" s="721">
        <v>0</v>
      </c>
      <c r="D33" s="721">
        <v>0</v>
      </c>
      <c r="E33" s="721">
        <v>0</v>
      </c>
      <c r="F33" s="721">
        <v>0</v>
      </c>
      <c r="G33" s="721">
        <v>0</v>
      </c>
      <c r="H33" s="721">
        <v>0</v>
      </c>
      <c r="I33" s="721">
        <v>0</v>
      </c>
      <c r="J33" s="721">
        <v>0</v>
      </c>
      <c r="K33" s="721">
        <v>0</v>
      </c>
      <c r="L33" s="721">
        <v>0</v>
      </c>
      <c r="M33" s="721">
        <v>0</v>
      </c>
      <c r="N33" s="721">
        <v>0</v>
      </c>
      <c r="O33" s="721">
        <v>0</v>
      </c>
      <c r="P33" s="721">
        <v>0</v>
      </c>
      <c r="Q33" s="721">
        <v>0</v>
      </c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5"/>
      <c r="BG33" s="5"/>
      <c r="BH33" s="5"/>
      <c r="BI33" s="5"/>
      <c r="BJ33" s="5"/>
    </row>
    <row r="34" spans="1:62" s="1" customFormat="1">
      <c r="B34" s="1" t="s">
        <v>738</v>
      </c>
      <c r="C34" s="721">
        <v>117.47708940345299</v>
      </c>
      <c r="D34" s="721">
        <v>117.47708940345299</v>
      </c>
      <c r="E34" s="721">
        <v>117.47708940345294</v>
      </c>
      <c r="F34" s="721">
        <v>117.47708940345294</v>
      </c>
      <c r="G34" s="721">
        <v>117.47708940345294</v>
      </c>
      <c r="H34" s="721">
        <v>117.47708940345294</v>
      </c>
      <c r="I34" s="721">
        <v>117.47708940345294</v>
      </c>
      <c r="J34" s="721">
        <v>117.47708940345294</v>
      </c>
      <c r="K34" s="721">
        <v>117.47708940345294</v>
      </c>
      <c r="L34" s="721">
        <v>117.47708940345294</v>
      </c>
      <c r="M34" s="721">
        <v>117.47708940345294</v>
      </c>
      <c r="N34" s="721">
        <v>117.47708940345294</v>
      </c>
      <c r="O34" s="721">
        <v>117.47708940345294</v>
      </c>
      <c r="P34" s="721">
        <v>117.47708940345294</v>
      </c>
      <c r="Q34" s="721">
        <v>117.47708940345294</v>
      </c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5"/>
      <c r="BG34" s="5"/>
      <c r="BH34" s="5"/>
      <c r="BI34" s="5"/>
      <c r="BJ34" s="5"/>
    </row>
    <row r="35" spans="1:62" s="1" customFormat="1">
      <c r="B35" s="1" t="s">
        <v>739</v>
      </c>
      <c r="C35" s="721">
        <v>575.12520559401673</v>
      </c>
      <c r="D35" s="721">
        <v>575.12520559401673</v>
      </c>
      <c r="E35" s="721">
        <v>574.92243413575056</v>
      </c>
      <c r="F35" s="721">
        <v>574.92243413575056</v>
      </c>
      <c r="G35" s="721">
        <v>574.92243413575056</v>
      </c>
      <c r="H35" s="721">
        <v>574.92243413575056</v>
      </c>
      <c r="I35" s="721">
        <v>574.92243413575056</v>
      </c>
      <c r="J35" s="721">
        <v>574.92243413575056</v>
      </c>
      <c r="K35" s="721">
        <v>574.92243413575056</v>
      </c>
      <c r="L35" s="721">
        <v>574.92243413575056</v>
      </c>
      <c r="M35" s="721">
        <v>574.92243413575056</v>
      </c>
      <c r="N35" s="721">
        <v>574.92243413575056</v>
      </c>
      <c r="O35" s="721">
        <v>574.92243413575056</v>
      </c>
      <c r="P35" s="721">
        <v>574.92243413575056</v>
      </c>
      <c r="Q35" s="721">
        <v>574.92243413575056</v>
      </c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5"/>
      <c r="BG35" s="5"/>
      <c r="BH35" s="5"/>
      <c r="BI35" s="5"/>
      <c r="BJ35" s="5"/>
    </row>
    <row r="36" spans="1:62" s="1" customFormat="1">
      <c r="C36" s="721"/>
      <c r="D36" s="721"/>
      <c r="E36" s="721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176"/>
      <c r="BG36" s="176"/>
      <c r="BH36" s="176"/>
      <c r="BI36" s="176"/>
      <c r="BJ36" s="176"/>
    </row>
    <row r="37" spans="1:62">
      <c r="A37" s="1" t="s">
        <v>731</v>
      </c>
      <c r="B37" t="s">
        <v>732</v>
      </c>
      <c r="C37" s="721">
        <v>-2570.93011952488</v>
      </c>
      <c r="D37" s="721">
        <v>-2017.2103571240784</v>
      </c>
      <c r="E37" s="721">
        <v>-1581.4401854961231</v>
      </c>
      <c r="F37" s="721">
        <v>-1343.1231141405206</v>
      </c>
      <c r="G37" s="721">
        <v>-1075.7622928746434</v>
      </c>
      <c r="H37" s="721">
        <v>-905.38035344519847</v>
      </c>
      <c r="I37" s="721">
        <v>-618.90129807927053</v>
      </c>
      <c r="J37" s="721">
        <v>-545.8520653001915</v>
      </c>
      <c r="K37" s="721">
        <v>-458.31551275627794</v>
      </c>
      <c r="L37" s="721">
        <v>-395.19929760850943</v>
      </c>
      <c r="M37" s="721">
        <v>-489.87829429133672</v>
      </c>
      <c r="N37" s="721">
        <v>-616.35773369361937</v>
      </c>
      <c r="O37" s="721">
        <v>-828.61244919469686</v>
      </c>
      <c r="P37" s="721">
        <v>-1100.0399288753017</v>
      </c>
      <c r="Q37" s="721">
        <v>-1414.4177559401808</v>
      </c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618"/>
      <c r="BG37" s="618"/>
      <c r="BH37" s="618"/>
      <c r="BI37" s="618"/>
      <c r="BJ37" s="618"/>
    </row>
    <row r="38" spans="1:62">
      <c r="B38" t="s">
        <v>733</v>
      </c>
      <c r="C38" s="721">
        <v>1913.335799673602</v>
      </c>
      <c r="D38" s="721">
        <v>2351.762623127358</v>
      </c>
      <c r="E38" s="721">
        <v>915.27717834879331</v>
      </c>
      <c r="F38" s="721">
        <v>935.64807238908134</v>
      </c>
      <c r="G38" s="721">
        <v>971.80386163113087</v>
      </c>
      <c r="H38" s="721">
        <v>1014.7795889646652</v>
      </c>
      <c r="I38" s="721">
        <v>1077.106192723468</v>
      </c>
      <c r="J38" s="721">
        <v>1078.1403425406895</v>
      </c>
      <c r="K38" s="721">
        <v>1084.9041266797037</v>
      </c>
      <c r="L38" s="721">
        <v>1089.6975662229218</v>
      </c>
      <c r="M38" s="721">
        <v>1093.7887474373829</v>
      </c>
      <c r="N38" s="721">
        <v>1096.9541191960707</v>
      </c>
      <c r="O38" s="721">
        <v>1102.7425940253254</v>
      </c>
      <c r="P38" s="721">
        <v>1108.6368028122172</v>
      </c>
      <c r="Q38" s="721">
        <v>1113.698177378631</v>
      </c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618"/>
      <c r="BG38" s="618"/>
      <c r="BH38" s="618"/>
      <c r="BI38" s="618"/>
      <c r="BJ38" s="618"/>
    </row>
    <row r="39" spans="1:62" s="1" customFormat="1" ht="15.75" thickBot="1">
      <c r="A39" s="56"/>
      <c r="B39" s="56" t="s">
        <v>743</v>
      </c>
      <c r="C39" s="719">
        <f t="shared" ref="C39:Q39" si="3">C37+C38</f>
        <v>-657.59431985127799</v>
      </c>
      <c r="D39" s="719">
        <f>D37+D38</f>
        <v>334.55226600327956</v>
      </c>
      <c r="E39" s="719">
        <f t="shared" si="3"/>
        <v>-666.16300714732984</v>
      </c>
      <c r="F39" s="719">
        <f t="shared" si="3"/>
        <v>-407.47504175143922</v>
      </c>
      <c r="G39" s="719">
        <f t="shared" si="3"/>
        <v>-103.95843124351256</v>
      </c>
      <c r="H39" s="719">
        <f t="shared" si="3"/>
        <v>109.39923551946674</v>
      </c>
      <c r="I39" s="719">
        <f>I37+I38</f>
        <v>458.20489464419745</v>
      </c>
      <c r="J39" s="719">
        <f t="shared" si="3"/>
        <v>532.28827724049802</v>
      </c>
      <c r="K39" s="719">
        <f t="shared" si="3"/>
        <v>626.58861392342578</v>
      </c>
      <c r="L39" s="719">
        <f t="shared" si="3"/>
        <v>694.49826861441238</v>
      </c>
      <c r="M39" s="719">
        <f t="shared" si="3"/>
        <v>603.91045314604617</v>
      </c>
      <c r="N39" s="719">
        <f t="shared" si="3"/>
        <v>480.59638550245131</v>
      </c>
      <c r="O39" s="719">
        <f t="shared" si="3"/>
        <v>274.13014483062852</v>
      </c>
      <c r="P39" s="719">
        <f t="shared" si="3"/>
        <v>8.5968739369154719</v>
      </c>
      <c r="Q39" s="719">
        <f t="shared" si="3"/>
        <v>-300.71957856154972</v>
      </c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4"/>
      <c r="AF39" s="614"/>
      <c r="AG39" s="614"/>
      <c r="AH39" s="614"/>
      <c r="AI39" s="614"/>
      <c r="AJ39" s="614"/>
      <c r="AK39" s="614"/>
      <c r="AL39" s="614"/>
      <c r="AM39" s="614"/>
      <c r="AN39" s="614"/>
      <c r="AO39" s="614"/>
      <c r="AP39" s="614"/>
      <c r="AQ39" s="614"/>
      <c r="AR39" s="614"/>
      <c r="AS39" s="614"/>
      <c r="AT39" s="614"/>
      <c r="AU39" s="614"/>
      <c r="AV39" s="614"/>
      <c r="AW39" s="614"/>
      <c r="AX39" s="614"/>
      <c r="AY39" s="614"/>
      <c r="AZ39" s="614"/>
      <c r="BA39" s="614"/>
      <c r="BB39" s="614"/>
      <c r="BC39" s="614"/>
      <c r="BD39" s="614"/>
      <c r="BE39" s="614"/>
      <c r="BF39" s="614"/>
      <c r="BG39" s="614"/>
      <c r="BH39" s="614"/>
      <c r="BI39" s="614"/>
      <c r="BJ39" s="614"/>
    </row>
    <row r="40" spans="1:62" ht="15.75" thickTop="1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9963-4DBC-4C73-B1D5-DD0C84C0B40B}">
  <dimension ref="A1:AN402"/>
  <sheetViews>
    <sheetView topLeftCell="A57" zoomScale="85" zoomScaleNormal="85" workbookViewId="0">
      <selection activeCell="W74" sqref="W74"/>
    </sheetView>
  </sheetViews>
  <sheetFormatPr defaultRowHeight="15"/>
  <cols>
    <col min="1" max="1" width="18.7109375" customWidth="1"/>
    <col min="2" max="2" width="41.5703125" customWidth="1"/>
    <col min="3" max="4" width="8.7109375" customWidth="1"/>
    <col min="5" max="5" width="8.7109375" style="155" customWidth="1"/>
    <col min="6" max="22" width="8.7109375" customWidth="1"/>
    <col min="23" max="23" width="10.7109375" customWidth="1"/>
    <col min="24" max="31" width="8.7109375" customWidth="1"/>
    <col min="32" max="32" width="9.140625" customWidth="1"/>
    <col min="34" max="34" width="9.140625" bestFit="1" customWidth="1"/>
  </cols>
  <sheetData>
    <row r="1" spans="1:33">
      <c r="A1" s="260" t="s">
        <v>744</v>
      </c>
      <c r="B1" t="s">
        <v>745</v>
      </c>
      <c r="M1" s="52"/>
    </row>
    <row r="2" spans="1:33">
      <c r="A2" s="261" t="s">
        <v>746</v>
      </c>
      <c r="I2" s="11"/>
      <c r="J2" s="11"/>
      <c r="K2" s="11"/>
    </row>
    <row r="3" spans="1:33">
      <c r="I3" s="33"/>
      <c r="J3" s="33"/>
      <c r="K3" s="33"/>
    </row>
    <row r="4" spans="1:33">
      <c r="C4" t="s">
        <v>747</v>
      </c>
      <c r="F4" t="s">
        <v>748</v>
      </c>
    </row>
    <row r="5" spans="1:33">
      <c r="A5" s="262"/>
      <c r="B5" s="262"/>
      <c r="C5" s="262">
        <v>2020</v>
      </c>
      <c r="D5" s="263">
        <v>2021</v>
      </c>
      <c r="E5" s="264">
        <v>2022</v>
      </c>
      <c r="F5" s="262">
        <v>2023</v>
      </c>
      <c r="G5" s="262">
        <v>2024</v>
      </c>
      <c r="H5" s="262">
        <v>2025</v>
      </c>
      <c r="I5" s="262">
        <v>2026</v>
      </c>
      <c r="J5" s="262">
        <v>2027</v>
      </c>
      <c r="K5" s="262">
        <v>2028</v>
      </c>
      <c r="L5" s="262">
        <v>2029</v>
      </c>
      <c r="M5" s="262">
        <v>2030</v>
      </c>
      <c r="N5" s="262">
        <v>2031</v>
      </c>
      <c r="O5" s="262">
        <v>2032</v>
      </c>
      <c r="P5" s="262">
        <v>2033</v>
      </c>
      <c r="Q5" s="262">
        <v>2034</v>
      </c>
      <c r="R5" s="262">
        <v>2035</v>
      </c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</row>
    <row r="6" spans="1:33" ht="18.75">
      <c r="A6" s="265" t="s">
        <v>749</v>
      </c>
      <c r="B6" s="266"/>
      <c r="C6" s="267"/>
      <c r="D6" s="267"/>
      <c r="E6" s="268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</row>
    <row r="8" spans="1:33">
      <c r="A8" s="262"/>
      <c r="B8" s="262" t="s">
        <v>750</v>
      </c>
    </row>
    <row r="9" spans="1:33" s="606" customFormat="1">
      <c r="A9" s="656"/>
      <c r="B9" s="656" t="s">
        <v>751</v>
      </c>
      <c r="C9" s="657">
        <v>37.685317532833317</v>
      </c>
      <c r="D9" s="657">
        <v>57.746774128753103</v>
      </c>
      <c r="E9" s="658">
        <v>87.110853974999998</v>
      </c>
      <c r="F9" s="657">
        <v>66.144272500000014</v>
      </c>
      <c r="G9" s="657">
        <v>64.542000000000002</v>
      </c>
      <c r="H9" s="657">
        <v>68.543604000000002</v>
      </c>
      <c r="I9" s="657">
        <v>72.793307448000007</v>
      </c>
      <c r="J9" s="657">
        <v>77.306492509776021</v>
      </c>
      <c r="K9" s="657">
        <v>82.099495045382128</v>
      </c>
      <c r="L9" s="657">
        <v>87.189663738195819</v>
      </c>
      <c r="M9" s="657">
        <v>92.59542288996397</v>
      </c>
      <c r="N9" s="657">
        <v>89.724964780375089</v>
      </c>
      <c r="O9" s="657">
        <v>86.943490872183474</v>
      </c>
      <c r="P9" s="657">
        <v>84.248242655145788</v>
      </c>
      <c r="Q9" s="657">
        <v>81.636547132836256</v>
      </c>
      <c r="R9" s="657">
        <v>79.105814171718336</v>
      </c>
      <c r="S9" s="605"/>
      <c r="T9" s="605"/>
      <c r="U9" s="605"/>
      <c r="V9" s="605"/>
      <c r="W9" s="605"/>
      <c r="X9" s="605"/>
      <c r="Y9" s="605"/>
      <c r="Z9" s="605"/>
      <c r="AA9" s="605"/>
      <c r="AB9" s="605"/>
      <c r="AC9" s="605"/>
      <c r="AD9" s="605"/>
      <c r="AE9" s="605"/>
      <c r="AF9" s="605"/>
      <c r="AG9" s="605"/>
    </row>
    <row r="10" spans="1:33" s="606" customFormat="1">
      <c r="A10" s="656"/>
      <c r="B10" s="656" t="s">
        <v>752</v>
      </c>
      <c r="C10" s="657">
        <v>37.685317532833317</v>
      </c>
      <c r="D10" s="657">
        <v>57.746774128753103</v>
      </c>
      <c r="E10" s="658">
        <v>87.110853974999998</v>
      </c>
      <c r="F10" s="657">
        <v>66.144272500000014</v>
      </c>
      <c r="G10" s="657">
        <v>64.542000000000002</v>
      </c>
      <c r="H10" s="657">
        <v>68.543604000000002</v>
      </c>
      <c r="I10" s="657">
        <v>72.793307448000007</v>
      </c>
      <c r="J10" s="657">
        <v>77.306492509776021</v>
      </c>
      <c r="K10" s="657">
        <v>82.099495045382128</v>
      </c>
      <c r="L10" s="657">
        <v>87.189663738195819</v>
      </c>
      <c r="M10" s="657">
        <v>92.59542288996397</v>
      </c>
      <c r="N10" s="657">
        <v>89.724964780375089</v>
      </c>
      <c r="O10" s="657">
        <v>86.943490872183474</v>
      </c>
      <c r="P10" s="657">
        <v>84.248242655145788</v>
      </c>
      <c r="Q10" s="657">
        <v>81.636547132836256</v>
      </c>
      <c r="R10" s="657">
        <v>79.105814171718336</v>
      </c>
      <c r="S10" s="605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  <c r="AD10" s="605"/>
      <c r="AE10" s="605"/>
      <c r="AF10" s="605"/>
      <c r="AG10" s="605"/>
    </row>
    <row r="11" spans="1:33">
      <c r="B11" t="s">
        <v>753</v>
      </c>
      <c r="C11">
        <v>0</v>
      </c>
      <c r="D11">
        <v>0</v>
      </c>
      <c r="E11" s="155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33">
      <c r="B12" t="s">
        <v>754</v>
      </c>
      <c r="C12">
        <v>0</v>
      </c>
      <c r="D12">
        <v>0</v>
      </c>
      <c r="E12" s="155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>
      <c r="B13" t="s">
        <v>755</v>
      </c>
      <c r="C13" s="10">
        <v>5090</v>
      </c>
      <c r="D13" s="10">
        <v>5111</v>
      </c>
      <c r="E13" s="269">
        <v>5127.97</v>
      </c>
      <c r="F13" s="10">
        <v>5149.49</v>
      </c>
      <c r="G13" s="10">
        <v>5179.3100000000004</v>
      </c>
      <c r="H13" s="10">
        <v>5217.28</v>
      </c>
      <c r="I13" s="10">
        <v>5263.71</v>
      </c>
      <c r="J13" s="10">
        <v>5309.29</v>
      </c>
      <c r="K13" s="10">
        <v>5354.05</v>
      </c>
      <c r="L13" s="10">
        <v>5397.96</v>
      </c>
      <c r="M13" s="10">
        <v>5441</v>
      </c>
      <c r="N13" s="10">
        <v>5483.11</v>
      </c>
      <c r="O13" s="10">
        <v>5524.19</v>
      </c>
      <c r="P13" s="10">
        <v>5564.43</v>
      </c>
      <c r="Q13" s="10">
        <v>5603.7</v>
      </c>
      <c r="R13" s="10">
        <v>5642.14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>
      <c r="B14" t="s">
        <v>756</v>
      </c>
      <c r="C14" s="11">
        <v>243.79599999999999</v>
      </c>
      <c r="D14" s="11">
        <v>247.60050000000001</v>
      </c>
      <c r="E14" s="11">
        <v>275.92649999999998</v>
      </c>
      <c r="F14" s="11">
        <v>281.63799999999998</v>
      </c>
      <c r="G14" s="11">
        <v>285.96799999999996</v>
      </c>
      <c r="H14" s="11">
        <v>293.43100000000004</v>
      </c>
      <c r="I14" s="11">
        <v>302.1705</v>
      </c>
      <c r="J14" s="11">
        <v>310.34758375340721</v>
      </c>
      <c r="K14" s="11">
        <v>317.97229732835825</v>
      </c>
      <c r="L14" s="11">
        <v>325.2927367141819</v>
      </c>
      <c r="M14" s="11">
        <v>331.95992541633581</v>
      </c>
      <c r="N14" s="11">
        <v>337.89591705746147</v>
      </c>
      <c r="O14" s="11">
        <v>343.57892483040035</v>
      </c>
      <c r="P14" s="11">
        <v>349.12309937255918</v>
      </c>
      <c r="Q14" s="11">
        <v>354.52247390631709</v>
      </c>
      <c r="R14" s="11">
        <v>359.76463926356831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>
      <c r="B15" t="s">
        <v>757</v>
      </c>
      <c r="C15">
        <v>0.65</v>
      </c>
      <c r="D15">
        <v>0.71</v>
      </c>
      <c r="E15" s="155">
        <v>0.64</v>
      </c>
      <c r="F15">
        <v>0.65</v>
      </c>
      <c r="G15">
        <v>0.65</v>
      </c>
      <c r="H15">
        <v>0.65</v>
      </c>
      <c r="I15">
        <v>0.65</v>
      </c>
      <c r="J15">
        <v>0.65</v>
      </c>
      <c r="K15">
        <v>0.65</v>
      </c>
      <c r="L15">
        <v>0.65</v>
      </c>
      <c r="M15">
        <v>0.65</v>
      </c>
      <c r="N15">
        <v>0.65</v>
      </c>
      <c r="O15">
        <v>0.65</v>
      </c>
      <c r="P15">
        <v>0.65</v>
      </c>
      <c r="Q15">
        <v>0.65</v>
      </c>
      <c r="R15">
        <v>0.65</v>
      </c>
    </row>
    <row r="16" spans="1:33">
      <c r="B16" t="s">
        <v>758</v>
      </c>
      <c r="C16" s="11">
        <v>51.841695383794111</v>
      </c>
      <c r="D16" s="11">
        <v>83.09275896048355</v>
      </c>
      <c r="E16" s="156">
        <v>109.89218255625364</v>
      </c>
      <c r="F16" s="11">
        <v>87.443999999999988</v>
      </c>
      <c r="G16" s="11">
        <v>94</v>
      </c>
      <c r="H16" s="11">
        <v>91.100000000000009</v>
      </c>
      <c r="I16" s="11">
        <v>85.88000000000001</v>
      </c>
      <c r="J16" s="11">
        <v>80.660000000000011</v>
      </c>
      <c r="K16" s="11">
        <v>75.440000000000012</v>
      </c>
      <c r="L16" s="11">
        <v>70.220000000000013</v>
      </c>
      <c r="M16" s="11">
        <v>65</v>
      </c>
      <c r="N16" s="11">
        <v>65</v>
      </c>
      <c r="O16" s="11">
        <v>65</v>
      </c>
      <c r="P16" s="11">
        <v>65</v>
      </c>
      <c r="Q16" s="11">
        <v>65</v>
      </c>
      <c r="R16" s="11">
        <v>65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40"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T17" s="34"/>
      <c r="U17" s="34"/>
      <c r="V17" s="34"/>
      <c r="W17" s="34"/>
      <c r="X17" s="8"/>
    </row>
    <row r="18" spans="1:40" ht="18.75">
      <c r="A18" s="265" t="s">
        <v>759</v>
      </c>
      <c r="B18" s="266"/>
      <c r="C18" s="267"/>
      <c r="D18" s="267"/>
      <c r="E18" s="268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</row>
    <row r="20" spans="1:40">
      <c r="A20" s="262" t="s">
        <v>760</v>
      </c>
      <c r="B20" s="262"/>
      <c r="F20" s="11"/>
    </row>
    <row r="21" spans="1:40">
      <c r="B21" t="s">
        <v>679</v>
      </c>
      <c r="C21" s="11">
        <v>13192.241771054001</v>
      </c>
      <c r="D21" s="11">
        <v>13846.170045214722</v>
      </c>
      <c r="E21" s="156">
        <v>13684.42861894897</v>
      </c>
      <c r="F21" s="11">
        <v>14322.39190042315</v>
      </c>
      <c r="G21" s="11">
        <v>14324.939761410242</v>
      </c>
      <c r="H21" s="11">
        <v>14317.80470662593</v>
      </c>
      <c r="I21" s="11">
        <v>14265.724646237953</v>
      </c>
      <c r="J21" s="11">
        <v>14160.752676811388</v>
      </c>
      <c r="K21" s="11">
        <v>13999.450981563212</v>
      </c>
      <c r="L21" s="11">
        <v>13848.929881369118</v>
      </c>
      <c r="M21" s="11">
        <v>13685.207202809144</v>
      </c>
      <c r="N21" s="11">
        <v>13499.240186713459</v>
      </c>
      <c r="O21" s="11">
        <v>13296.382676378276</v>
      </c>
      <c r="P21" s="11">
        <v>13064.209165470826</v>
      </c>
      <c r="Q21" s="11">
        <v>12785.29841847738</v>
      </c>
      <c r="R21" s="11">
        <v>12510.455809503019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I21" s="34"/>
      <c r="AJ21" s="11"/>
      <c r="AK21" s="11"/>
      <c r="AL21" s="382"/>
      <c r="AM21" s="11"/>
      <c r="AN21" s="382"/>
    </row>
    <row r="22" spans="1:40">
      <c r="B22" t="s">
        <v>680</v>
      </c>
      <c r="C22" s="11">
        <v>17732.875307450562</v>
      </c>
      <c r="D22" s="11">
        <v>17385.563061096822</v>
      </c>
      <c r="E22" s="156">
        <v>15031.679670574336</v>
      </c>
      <c r="F22" s="11">
        <v>14737.564553861797</v>
      </c>
      <c r="G22" s="11">
        <v>15468.175027003495</v>
      </c>
      <c r="H22" s="11">
        <v>14880.003909667437</v>
      </c>
      <c r="I22" s="11">
        <v>14565.021409551147</v>
      </c>
      <c r="J22" s="11">
        <v>14436.215832060174</v>
      </c>
      <c r="K22" s="11">
        <v>13521.301401497465</v>
      </c>
      <c r="L22" s="11">
        <v>12910.321588709299</v>
      </c>
      <c r="M22" s="11">
        <v>11627.357276689228</v>
      </c>
      <c r="N22" s="11">
        <v>11475.92194433777</v>
      </c>
      <c r="O22" s="11">
        <v>11315.540744595964</v>
      </c>
      <c r="P22" s="11">
        <v>11127.723782545165</v>
      </c>
      <c r="Q22" s="11">
        <v>10930.213354888716</v>
      </c>
      <c r="R22" s="11">
        <v>10728.664322823483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I22" s="34"/>
      <c r="AJ22" s="11"/>
      <c r="AK22" s="11"/>
      <c r="AL22" s="382"/>
      <c r="AM22" s="11"/>
      <c r="AN22" s="382"/>
    </row>
    <row r="23" spans="1:40">
      <c r="B23" t="s">
        <v>352</v>
      </c>
      <c r="C23" s="11">
        <v>4479.9511699776403</v>
      </c>
      <c r="D23" s="11">
        <v>4708.3953277825849</v>
      </c>
      <c r="E23" s="156">
        <v>4469.1560114591539</v>
      </c>
      <c r="F23" s="11">
        <v>4272.385349766475</v>
      </c>
      <c r="G23" s="11">
        <v>4316.1547713062519</v>
      </c>
      <c r="H23" s="11">
        <v>4229.7516280797199</v>
      </c>
      <c r="I23" s="11">
        <v>3264.1603360528452</v>
      </c>
      <c r="J23" s="11">
        <v>3210.1797029607019</v>
      </c>
      <c r="K23" s="11">
        <v>3076.5176353358993</v>
      </c>
      <c r="L23" s="11">
        <v>3030.4248734661901</v>
      </c>
      <c r="M23" s="11">
        <v>2981.411054030239</v>
      </c>
      <c r="N23" s="11">
        <v>2983.0910615465218</v>
      </c>
      <c r="O23" s="11">
        <v>2929.2851755255228</v>
      </c>
      <c r="P23" s="11">
        <v>2930.9220136627946</v>
      </c>
      <c r="Q23" s="11">
        <v>2893.6963234147565</v>
      </c>
      <c r="R23" s="11">
        <v>2880.5725825337759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I23" s="34"/>
      <c r="AJ23" s="11"/>
      <c r="AK23" s="11"/>
      <c r="AL23" s="382"/>
      <c r="AM23" s="11"/>
      <c r="AN23" s="382"/>
    </row>
    <row r="24" spans="1:40">
      <c r="B24" t="s">
        <v>339</v>
      </c>
      <c r="C24" s="11">
        <v>42869.25742798276</v>
      </c>
      <c r="D24" s="11">
        <v>42320.552750999232</v>
      </c>
      <c r="E24" s="156">
        <v>41345.504468844381</v>
      </c>
      <c r="F24" s="11">
        <v>40604.314760286456</v>
      </c>
      <c r="G24" s="11">
        <v>39972.504130988651</v>
      </c>
      <c r="H24" s="11">
        <v>39605.623785565236</v>
      </c>
      <c r="I24" s="11">
        <v>39403.107980066154</v>
      </c>
      <c r="J24" s="11">
        <v>39254.616112724922</v>
      </c>
      <c r="K24" s="11">
        <v>39277.32304122021</v>
      </c>
      <c r="L24" s="11">
        <v>39166.732306191858</v>
      </c>
      <c r="M24" s="11">
        <v>38971.559832769119</v>
      </c>
      <c r="N24" s="11">
        <v>38243.642629082671</v>
      </c>
      <c r="O24" s="11">
        <v>37633.390222895017</v>
      </c>
      <c r="P24" s="11">
        <v>36794.99234863434</v>
      </c>
      <c r="Q24" s="11">
        <v>36065.504019836502</v>
      </c>
      <c r="R24" s="11">
        <v>35350.645213871321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I24" s="34"/>
      <c r="AJ24" s="11"/>
      <c r="AK24" s="11"/>
      <c r="AL24" s="382"/>
      <c r="AM24" s="11"/>
      <c r="AN24" s="382"/>
    </row>
    <row r="25" spans="1:40">
      <c r="B25" t="s">
        <v>249</v>
      </c>
      <c r="C25" s="11">
        <v>3603.193103085217</v>
      </c>
      <c r="D25" s="11">
        <v>3544.3070468936721</v>
      </c>
      <c r="E25" s="156">
        <v>3492.7184671294845</v>
      </c>
      <c r="F25" s="11">
        <v>3470.1012754102053</v>
      </c>
      <c r="G25" s="11">
        <v>3405.389643655833</v>
      </c>
      <c r="H25" s="11">
        <v>3356.0903797162869</v>
      </c>
      <c r="I25" s="11">
        <v>3222.5479328480142</v>
      </c>
      <c r="J25" s="11">
        <v>3015.7617808926698</v>
      </c>
      <c r="K25" s="11">
        <v>2911.4993998498599</v>
      </c>
      <c r="L25" s="11">
        <v>2832.5349063773369</v>
      </c>
      <c r="M25" s="11">
        <v>2746.873045489443</v>
      </c>
      <c r="N25" s="11">
        <v>2775.2234305241518</v>
      </c>
      <c r="O25" s="11">
        <v>2794.3154511361304</v>
      </c>
      <c r="P25" s="11">
        <v>2804.0428500700536</v>
      </c>
      <c r="Q25" s="11">
        <v>2811.7179606041564</v>
      </c>
      <c r="R25" s="11">
        <v>2814.665741860741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I25" s="34"/>
      <c r="AJ25" s="11"/>
      <c r="AK25" s="11"/>
      <c r="AL25" s="382"/>
      <c r="AM25" s="11"/>
      <c r="AN25" s="382"/>
    </row>
    <row r="26" spans="1:40">
      <c r="B26" t="s">
        <v>761</v>
      </c>
      <c r="C26" s="659">
        <v>-6184.9</v>
      </c>
      <c r="D26" s="659">
        <v>-6067.3</v>
      </c>
      <c r="E26" s="659">
        <v>-5279.6</v>
      </c>
      <c r="F26" s="270">
        <v>-6179.4212536392924</v>
      </c>
      <c r="G26" s="11">
        <v>-6339.3976080867915</v>
      </c>
      <c r="H26" s="11">
        <v>-7371.4246693807936</v>
      </c>
      <c r="I26" s="11">
        <v>-8788.5068311243522</v>
      </c>
      <c r="J26" s="11">
        <v>-10403.812380547497</v>
      </c>
      <c r="K26" s="11">
        <v>-12346.191817120682</v>
      </c>
      <c r="L26" s="11">
        <v>-13926.429457476626</v>
      </c>
      <c r="M26" s="11">
        <v>-14832.741912177898</v>
      </c>
      <c r="N26" s="11">
        <v>-15434.943736927024</v>
      </c>
      <c r="O26" s="11">
        <v>-15996.362050735792</v>
      </c>
      <c r="P26" s="11">
        <v>-16700.275926168157</v>
      </c>
      <c r="Q26" s="11">
        <v>-17621.534597292532</v>
      </c>
      <c r="R26" s="11">
        <v>-18521.064997697005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I26" s="34"/>
      <c r="AJ26" s="11"/>
      <c r="AK26" s="11"/>
      <c r="AL26" s="382"/>
      <c r="AM26" s="11"/>
      <c r="AN26" s="382"/>
    </row>
    <row r="27" spans="1:40">
      <c r="B27" t="s">
        <v>762</v>
      </c>
      <c r="C27" s="11">
        <v>75692.61877955019</v>
      </c>
      <c r="D27" s="11">
        <v>75737.688231987035</v>
      </c>
      <c r="E27" s="11">
        <v>72743.887236956318</v>
      </c>
      <c r="F27" s="270">
        <v>71227.336586108795</v>
      </c>
      <c r="G27" s="11">
        <v>71147.765726277677</v>
      </c>
      <c r="H27" s="11">
        <v>69017.849740273829</v>
      </c>
      <c r="I27" s="11">
        <v>65932.055473631757</v>
      </c>
      <c r="J27" s="11">
        <v>63673.713724902351</v>
      </c>
      <c r="K27" s="11">
        <v>60439.90064234598</v>
      </c>
      <c r="L27" s="11">
        <v>57862.514098637184</v>
      </c>
      <c r="M27" s="11">
        <v>55179.666499609288</v>
      </c>
      <c r="N27" s="11">
        <v>53542.175515277544</v>
      </c>
      <c r="O27" s="11">
        <v>51972.552219795121</v>
      </c>
      <c r="P27" s="11">
        <v>50021.614234215027</v>
      </c>
      <c r="Q27" s="11">
        <v>47864.895479928979</v>
      </c>
      <c r="R27" s="11">
        <v>45763.93867289534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I27" s="34"/>
      <c r="AJ27" s="11"/>
      <c r="AK27" s="11"/>
      <c r="AL27" s="382"/>
      <c r="AM27" s="11"/>
      <c r="AN27" s="382"/>
    </row>
    <row r="28" spans="1:40">
      <c r="B28" t="s">
        <v>763</v>
      </c>
      <c r="C28" s="11">
        <v>81877.518779550184</v>
      </c>
      <c r="D28" s="11">
        <v>81804.988231987038</v>
      </c>
      <c r="E28" s="156">
        <v>78023.487236956324</v>
      </c>
      <c r="F28" s="11">
        <v>77406.757839748083</v>
      </c>
      <c r="G28" s="11">
        <v>77487.163334364464</v>
      </c>
      <c r="H28" s="11">
        <v>76389.274409654623</v>
      </c>
      <c r="I28" s="11">
        <v>74720.562304756109</v>
      </c>
      <c r="J28" s="11">
        <v>74077.526105449855</v>
      </c>
      <c r="K28" s="11">
        <v>72786.092459466658</v>
      </c>
      <c r="L28" s="11">
        <v>71788.943556113809</v>
      </c>
      <c r="M28" s="11">
        <v>70012.408411787183</v>
      </c>
      <c r="N28" s="11">
        <v>68977.119252204575</v>
      </c>
      <c r="O28" s="11">
        <v>67968.91427053092</v>
      </c>
      <c r="P28" s="11">
        <v>66721.890160383176</v>
      </c>
      <c r="Q28" s="11">
        <v>65486.430077221514</v>
      </c>
      <c r="R28" s="11">
        <v>64285.003670592348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I28" s="34"/>
      <c r="AJ28" s="11"/>
      <c r="AK28" s="11"/>
      <c r="AL28" s="382"/>
      <c r="AM28" s="11"/>
      <c r="AN28" s="382"/>
    </row>
    <row r="29" spans="1:40">
      <c r="C29" s="11"/>
      <c r="D29" s="7"/>
      <c r="E29" s="271"/>
      <c r="F29" s="18"/>
      <c r="G29" s="11"/>
      <c r="H29" s="7"/>
      <c r="I29" s="11"/>
      <c r="J29" s="11"/>
      <c r="K29" s="11"/>
      <c r="L29" s="11"/>
      <c r="M29" s="7"/>
      <c r="N29" s="11"/>
      <c r="O29" s="11"/>
      <c r="P29" s="11"/>
      <c r="Q29" s="11"/>
      <c r="R29" s="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J29" s="382"/>
      <c r="AL29" s="8"/>
    </row>
    <row r="30" spans="1:40">
      <c r="C30" s="11"/>
      <c r="D30" s="11"/>
      <c r="E30" s="156"/>
      <c r="F30" s="11"/>
      <c r="G30" s="11"/>
      <c r="H30" s="11"/>
      <c r="I30" s="11"/>
      <c r="J30" s="3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J30" s="382"/>
    </row>
    <row r="31" spans="1:40">
      <c r="A31" s="262" t="s">
        <v>764</v>
      </c>
      <c r="B31" s="262"/>
      <c r="E31" s="156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40">
      <c r="B32" t="s">
        <v>679</v>
      </c>
      <c r="C32" s="11">
        <v>0</v>
      </c>
      <c r="D32" s="11">
        <v>0</v>
      </c>
      <c r="E32" s="156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>
      <c r="B33" t="s">
        <v>680</v>
      </c>
      <c r="C33" s="11">
        <v>0</v>
      </c>
      <c r="D33" s="11">
        <v>0</v>
      </c>
      <c r="E33" s="156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>
      <c r="B34" t="s">
        <v>352</v>
      </c>
      <c r="C34" s="11">
        <v>0</v>
      </c>
      <c r="D34" s="11">
        <v>0</v>
      </c>
      <c r="E34" s="156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>
      <c r="B35" t="s">
        <v>339</v>
      </c>
      <c r="C35" s="11">
        <v>34958.508644107125</v>
      </c>
      <c r="D35" s="11">
        <v>34640.928499370311</v>
      </c>
      <c r="E35" s="156">
        <v>33975.358539351408</v>
      </c>
      <c r="F35" s="11">
        <v>33289.813450556307</v>
      </c>
      <c r="G35" s="11">
        <v>32700.572720948949</v>
      </c>
      <c r="H35" s="11">
        <v>32349.562094873738</v>
      </c>
      <c r="I35" s="11">
        <v>32154.273925726855</v>
      </c>
      <c r="J35" s="11">
        <v>32000.592371065733</v>
      </c>
      <c r="K35" s="11">
        <v>32000.939086385697</v>
      </c>
      <c r="L35" s="11">
        <v>31877.848954124449</v>
      </c>
      <c r="M35" s="11">
        <v>31709.510302492134</v>
      </c>
      <c r="N35" s="11">
        <v>31007.145790580722</v>
      </c>
      <c r="O35" s="11">
        <v>30414.671902261278</v>
      </c>
      <c r="P35" s="11">
        <v>29610.096776640392</v>
      </c>
      <c r="Q35" s="11">
        <v>28910.009271111823</v>
      </c>
      <c r="R35" s="11">
        <v>28224.845367802329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>
      <c r="B36" t="s">
        <v>249</v>
      </c>
      <c r="C36" s="11">
        <v>3367.6199666693037</v>
      </c>
      <c r="D36" s="11">
        <v>3306.7087911887124</v>
      </c>
      <c r="E36" s="156">
        <v>3258.703292495637</v>
      </c>
      <c r="F36" s="11">
        <v>3234.977320538786</v>
      </c>
      <c r="G36" s="11">
        <v>3169.3179398591869</v>
      </c>
      <c r="H36" s="11">
        <v>3119.6322013652884</v>
      </c>
      <c r="I36" s="11">
        <v>3028.9443004898694</v>
      </c>
      <c r="J36" s="11">
        <v>2819.4824353669055</v>
      </c>
      <c r="K36" s="11">
        <v>2715.2050522070795</v>
      </c>
      <c r="L36" s="11">
        <v>2636.2579873561781</v>
      </c>
      <c r="M36" s="11">
        <v>2547.9996829986358</v>
      </c>
      <c r="N36" s="11">
        <v>2537.0953351418989</v>
      </c>
      <c r="O36" s="11">
        <v>2556.1721469491845</v>
      </c>
      <c r="P36" s="11">
        <v>2565.935769758938</v>
      </c>
      <c r="Q36" s="11">
        <v>2571.1434700168816</v>
      </c>
      <c r="R36" s="11">
        <v>2574.206356153516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>
      <c r="B37" t="s">
        <v>761</v>
      </c>
      <c r="C37" s="11">
        <v>0</v>
      </c>
      <c r="D37" s="11">
        <v>0</v>
      </c>
      <c r="E37" s="156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>
      <c r="B38" t="s">
        <v>762</v>
      </c>
      <c r="C38" s="11">
        <v>38326.128610776432</v>
      </c>
      <c r="D38" s="11">
        <v>37947.637290559025</v>
      </c>
      <c r="E38" s="156">
        <v>37234.061831847044</v>
      </c>
      <c r="F38" s="11">
        <v>36524.790771095089</v>
      </c>
      <c r="G38" s="11">
        <v>35869.890660808138</v>
      </c>
      <c r="H38" s="11">
        <v>35469.194296239024</v>
      </c>
      <c r="I38" s="11">
        <v>35183.218226216726</v>
      </c>
      <c r="J38" s="11">
        <v>34820.07480643264</v>
      </c>
      <c r="K38" s="11">
        <v>34716.144138592776</v>
      </c>
      <c r="L38" s="11">
        <v>34514.106941480626</v>
      </c>
      <c r="M38" s="11">
        <v>34257.509985490768</v>
      </c>
      <c r="N38" s="11">
        <v>33544.241125722619</v>
      </c>
      <c r="O38" s="11">
        <v>32970.844049210464</v>
      </c>
      <c r="P38" s="11">
        <v>32176.032546399329</v>
      </c>
      <c r="Q38" s="11">
        <v>31481.152741128706</v>
      </c>
      <c r="R38" s="11">
        <v>30799.051723955847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>
      <c r="B39" t="s">
        <v>763</v>
      </c>
      <c r="C39" s="11">
        <v>38326.128610776432</v>
      </c>
      <c r="D39" s="11">
        <v>37947.637290559025</v>
      </c>
      <c r="E39" s="156">
        <v>37234.061831847044</v>
      </c>
      <c r="F39" s="11">
        <v>36524.790771095089</v>
      </c>
      <c r="G39" s="11">
        <v>35869.890660808138</v>
      </c>
      <c r="H39" s="11">
        <v>35469.194296239024</v>
      </c>
      <c r="I39" s="11">
        <v>35183.218226216726</v>
      </c>
      <c r="J39" s="11">
        <v>34820.07480643264</v>
      </c>
      <c r="K39" s="11">
        <v>34716.144138592776</v>
      </c>
      <c r="L39" s="11">
        <v>34514.106941480626</v>
      </c>
      <c r="M39" s="11">
        <v>34257.509985490768</v>
      </c>
      <c r="N39" s="11">
        <v>33544.241125722619</v>
      </c>
      <c r="O39" s="11">
        <v>32970.844049210464</v>
      </c>
      <c r="P39" s="11">
        <v>32176.032546399329</v>
      </c>
      <c r="Q39" s="11">
        <v>31481.152741128706</v>
      </c>
      <c r="R39" s="11">
        <v>30799.051723955847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2" spans="1:33">
      <c r="A42" s="262" t="s">
        <v>765</v>
      </c>
      <c r="B42" s="262"/>
      <c r="C42" s="272"/>
      <c r="D42" s="273"/>
      <c r="E42" s="274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</row>
    <row r="43" spans="1:33">
      <c r="B43" t="s">
        <v>679</v>
      </c>
      <c r="C43" s="11">
        <v>13192.241771054001</v>
      </c>
      <c r="D43" s="11">
        <v>13846.170045214722</v>
      </c>
      <c r="E43" s="156">
        <v>13684.42861894897</v>
      </c>
      <c r="F43" s="11">
        <v>14322.39190042315</v>
      </c>
      <c r="G43" s="11">
        <v>14324.939761410242</v>
      </c>
      <c r="H43" s="11">
        <v>14317.80470662593</v>
      </c>
      <c r="I43" s="11">
        <v>14265.724646237953</v>
      </c>
      <c r="J43" s="11">
        <v>14160.752676811388</v>
      </c>
      <c r="K43" s="11">
        <v>13999.450981563212</v>
      </c>
      <c r="L43" s="11">
        <v>13848.929881369118</v>
      </c>
      <c r="M43" s="11">
        <v>13685.207202809144</v>
      </c>
      <c r="N43" s="11">
        <v>13499.240186713459</v>
      </c>
      <c r="O43" s="11">
        <v>13296.382676378276</v>
      </c>
      <c r="P43" s="11">
        <v>13064.209165470826</v>
      </c>
      <c r="Q43" s="11">
        <v>12785.29841847738</v>
      </c>
      <c r="R43" s="11">
        <v>12510.455809503019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>
      <c r="B44" t="s">
        <v>680</v>
      </c>
      <c r="C44" s="11">
        <v>17732.875307450562</v>
      </c>
      <c r="D44" s="11">
        <v>17385.563061096822</v>
      </c>
      <c r="E44" s="156">
        <v>15031.679670574336</v>
      </c>
      <c r="F44" s="11">
        <v>14737.564553861797</v>
      </c>
      <c r="G44" s="11">
        <v>15468.175027003495</v>
      </c>
      <c r="H44" s="11">
        <v>14880.003909667437</v>
      </c>
      <c r="I44" s="11">
        <v>14565.021409551147</v>
      </c>
      <c r="J44" s="11">
        <v>14436.215832060174</v>
      </c>
      <c r="K44" s="11">
        <v>13521.301401497465</v>
      </c>
      <c r="L44" s="11">
        <v>12910.321588709299</v>
      </c>
      <c r="M44" s="11">
        <v>11627.357276689228</v>
      </c>
      <c r="N44" s="11">
        <v>11475.92194433777</v>
      </c>
      <c r="O44" s="11">
        <v>11315.540744595964</v>
      </c>
      <c r="P44" s="11">
        <v>11127.723782545165</v>
      </c>
      <c r="Q44" s="11">
        <v>10930.213354888716</v>
      </c>
      <c r="R44" s="11">
        <v>10728.664322823483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>
      <c r="B45" t="s">
        <v>352</v>
      </c>
      <c r="C45" s="11">
        <v>4479.9511699776403</v>
      </c>
      <c r="D45" s="11">
        <v>4708.3953277825849</v>
      </c>
      <c r="E45" s="156">
        <v>4469.1560114591539</v>
      </c>
      <c r="F45" s="11">
        <v>4272.385349766475</v>
      </c>
      <c r="G45" s="11">
        <v>4316.1547713062519</v>
      </c>
      <c r="H45" s="11">
        <v>4229.7516280797199</v>
      </c>
      <c r="I45" s="11">
        <v>3264.1603360528452</v>
      </c>
      <c r="J45" s="11">
        <v>3210.1797029607019</v>
      </c>
      <c r="K45" s="11">
        <v>3076.5176353358993</v>
      </c>
      <c r="L45" s="11">
        <v>3030.4248734661901</v>
      </c>
      <c r="M45" s="11">
        <v>2981.411054030239</v>
      </c>
      <c r="N45" s="11">
        <v>2983.0910615465218</v>
      </c>
      <c r="O45" s="11">
        <v>2929.2851755255228</v>
      </c>
      <c r="P45" s="11">
        <v>2930.9220136627946</v>
      </c>
      <c r="Q45" s="11">
        <v>2893.6963234147565</v>
      </c>
      <c r="R45" s="11">
        <v>2880.5725825337759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>
      <c r="B46" t="s">
        <v>339</v>
      </c>
      <c r="C46" s="11">
        <v>7910.7487838756351</v>
      </c>
      <c r="D46" s="11">
        <v>7679.6242516289203</v>
      </c>
      <c r="E46" s="156">
        <v>7370.1459294929737</v>
      </c>
      <c r="F46" s="11">
        <v>7314.5013097301489</v>
      </c>
      <c r="G46" s="11">
        <v>7271.9314100397023</v>
      </c>
      <c r="H46" s="11">
        <v>7256.0616906914984</v>
      </c>
      <c r="I46" s="11">
        <v>7248.8340543392987</v>
      </c>
      <c r="J46" s="11">
        <v>7254.0237416591881</v>
      </c>
      <c r="K46" s="11">
        <v>7276.3839548345131</v>
      </c>
      <c r="L46" s="11">
        <v>7288.8833520674089</v>
      </c>
      <c r="M46" s="11">
        <v>7262.049530276985</v>
      </c>
      <c r="N46" s="11">
        <v>7236.4968385019492</v>
      </c>
      <c r="O46" s="11">
        <v>7218.7183206337395</v>
      </c>
      <c r="P46" s="11">
        <v>7184.8955719939477</v>
      </c>
      <c r="Q46" s="11">
        <v>7155.4947487246791</v>
      </c>
      <c r="R46" s="11">
        <v>7125.7998460689923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>
      <c r="B47" t="s">
        <v>249</v>
      </c>
      <c r="C47" s="11">
        <v>235.57313641591327</v>
      </c>
      <c r="D47" s="11">
        <v>237.59825570495968</v>
      </c>
      <c r="E47" s="156">
        <v>234.01517463384744</v>
      </c>
      <c r="F47" s="11">
        <v>235.1239548714193</v>
      </c>
      <c r="G47" s="11">
        <v>236.07170379664603</v>
      </c>
      <c r="H47" s="11">
        <v>236.45817835099842</v>
      </c>
      <c r="I47" s="11">
        <v>193.60363235814475</v>
      </c>
      <c r="J47" s="11">
        <v>196.27934552576426</v>
      </c>
      <c r="K47" s="11">
        <v>196.29434764278039</v>
      </c>
      <c r="L47" s="11">
        <v>196.27691902115885</v>
      </c>
      <c r="M47" s="11">
        <v>198.87336249080727</v>
      </c>
      <c r="N47" s="11">
        <v>238.12809538225292</v>
      </c>
      <c r="O47" s="11">
        <v>238.1433041869459</v>
      </c>
      <c r="P47" s="11">
        <v>238.10708031111562</v>
      </c>
      <c r="Q47" s="11">
        <v>240.57449058727479</v>
      </c>
      <c r="R47" s="11">
        <v>240.45938570722501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>
      <c r="B48" t="s">
        <v>761</v>
      </c>
      <c r="C48" s="11">
        <v>-6184.9</v>
      </c>
      <c r="D48" s="11">
        <v>-6067.3</v>
      </c>
      <c r="E48" s="156">
        <v>-5279.6</v>
      </c>
      <c r="F48" s="11">
        <v>-6179.4212536392924</v>
      </c>
      <c r="G48" s="11">
        <v>-6339.3976080867915</v>
      </c>
      <c r="H48" s="11">
        <v>-7371.4246693807936</v>
      </c>
      <c r="I48" s="11">
        <v>-8788.5068311243522</v>
      </c>
      <c r="J48" s="11">
        <v>-10403.812380547497</v>
      </c>
      <c r="K48" s="11">
        <v>-12346.191817120682</v>
      </c>
      <c r="L48" s="11">
        <v>-13926.429457476626</v>
      </c>
      <c r="M48" s="11">
        <v>-14832.741912177898</v>
      </c>
      <c r="N48" s="11">
        <v>-15434.943736927024</v>
      </c>
      <c r="O48" s="11">
        <v>-15996.362050735792</v>
      </c>
      <c r="P48" s="11">
        <v>-16700.275926168157</v>
      </c>
      <c r="Q48" s="11">
        <v>-17621.534597292532</v>
      </c>
      <c r="R48" s="11">
        <v>-18521.064997697005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>
      <c r="B49" t="s">
        <v>762</v>
      </c>
      <c r="C49" s="11">
        <v>37366.490168773758</v>
      </c>
      <c r="D49" s="11">
        <v>37790.05094142801</v>
      </c>
      <c r="E49" s="156">
        <v>35509.825405109274</v>
      </c>
      <c r="F49" s="11">
        <v>34702.545815013706</v>
      </c>
      <c r="G49" s="11">
        <v>35277.87506546954</v>
      </c>
      <c r="H49" s="11">
        <v>33548.655444034805</v>
      </c>
      <c r="I49" s="11">
        <v>30748.837247415031</v>
      </c>
      <c r="J49" s="11">
        <v>28853.638918469711</v>
      </c>
      <c r="K49" s="11">
        <v>25723.756503753204</v>
      </c>
      <c r="L49" s="11">
        <v>23348.407157156558</v>
      </c>
      <c r="M49" s="11">
        <v>20922.15651411852</v>
      </c>
      <c r="N49" s="11">
        <v>19997.934389554925</v>
      </c>
      <c r="O49" s="11">
        <v>19001.708170584658</v>
      </c>
      <c r="P49" s="11">
        <v>17845.581687815698</v>
      </c>
      <c r="Q49" s="11">
        <v>16383.742738800272</v>
      </c>
      <c r="R49" s="11">
        <v>14964.886948939493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>
      <c r="B50" t="s">
        <v>763</v>
      </c>
      <c r="C50" s="11">
        <v>43551.390168773753</v>
      </c>
      <c r="D50" s="11">
        <v>43857.350941428012</v>
      </c>
      <c r="E50" s="156">
        <v>40789.425405109279</v>
      </c>
      <c r="F50" s="11">
        <v>40881.967068652993</v>
      </c>
      <c r="G50" s="11">
        <v>41617.272673556326</v>
      </c>
      <c r="H50" s="11">
        <v>40920.080113415599</v>
      </c>
      <c r="I50" s="11">
        <v>39537.344078539383</v>
      </c>
      <c r="J50" s="11">
        <v>39257.451299017215</v>
      </c>
      <c r="K50" s="11">
        <v>38069.948320873882</v>
      </c>
      <c r="L50" s="11">
        <v>37274.836614633183</v>
      </c>
      <c r="M50" s="11">
        <v>35754.898426296415</v>
      </c>
      <c r="N50" s="11">
        <v>35432.878126481955</v>
      </c>
      <c r="O50" s="11">
        <v>34998.070221320457</v>
      </c>
      <c r="P50" s="11">
        <v>34545.857613983848</v>
      </c>
      <c r="Q50" s="11">
        <v>34005.277336092811</v>
      </c>
      <c r="R50" s="11">
        <v>33485.951946636502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3" spans="1:33" ht="18.75">
      <c r="A53" s="265" t="s">
        <v>766</v>
      </c>
      <c r="B53" s="266"/>
      <c r="C53" s="267"/>
      <c r="D53" s="267"/>
      <c r="E53" s="268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</row>
    <row r="55" spans="1:33">
      <c r="A55" s="262"/>
      <c r="B55" s="262" t="s">
        <v>767</v>
      </c>
      <c r="C55" s="272"/>
      <c r="D55" s="273"/>
      <c r="E55" s="274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</row>
    <row r="56" spans="1:33">
      <c r="B56" t="s">
        <v>768</v>
      </c>
      <c r="C56" s="11">
        <v>4399.4560048785734</v>
      </c>
      <c r="D56" s="11">
        <v>4415.4969754183421</v>
      </c>
      <c r="E56" s="156">
        <v>2704.6789336095972</v>
      </c>
      <c r="F56" s="11">
        <v>2547.9989609953759</v>
      </c>
      <c r="G56" s="11">
        <v>3130.9950831322435</v>
      </c>
      <c r="H56" s="11">
        <v>2647.2167587184153</v>
      </c>
      <c r="I56" s="11">
        <v>2573.9418199281181</v>
      </c>
      <c r="J56" s="11">
        <v>2581.9084741692982</v>
      </c>
      <c r="K56" s="11">
        <v>2676.5468731606998</v>
      </c>
      <c r="L56" s="11">
        <v>2208.8072486848982</v>
      </c>
      <c r="M56" s="11">
        <v>1992.5458068603159</v>
      </c>
      <c r="N56" s="11">
        <v>1988.2047838619262</v>
      </c>
      <c r="O56" s="11">
        <v>1986.937143179324</v>
      </c>
      <c r="P56" s="11">
        <v>1975.9930776765887</v>
      </c>
      <c r="Q56" s="11">
        <v>1965.3530076319341</v>
      </c>
      <c r="R56" s="11">
        <v>1961.629332431904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>
      <c r="B57" t="s">
        <v>769</v>
      </c>
      <c r="C57" s="11">
        <v>957.06043974216846</v>
      </c>
      <c r="D57" s="11">
        <v>982.88837739143855</v>
      </c>
      <c r="E57" s="156">
        <v>419.70941551918895</v>
      </c>
      <c r="F57" s="11">
        <v>257.38134898542648</v>
      </c>
      <c r="G57" s="11">
        <v>293.73171855415376</v>
      </c>
      <c r="H57" s="11">
        <v>273.16877669371434</v>
      </c>
      <c r="I57" s="11">
        <v>266.84118599944622</v>
      </c>
      <c r="J57" s="11">
        <v>264.9790672577692</v>
      </c>
      <c r="K57" s="11">
        <v>209.97902863488162</v>
      </c>
      <c r="L57" s="11">
        <v>207.0313971389196</v>
      </c>
      <c r="M57" s="11">
        <v>143.45719075641387</v>
      </c>
      <c r="N57" s="11">
        <v>142.09848143544718</v>
      </c>
      <c r="O57" s="11">
        <v>141.09615720789338</v>
      </c>
      <c r="P57" s="11">
        <v>140.4026956451894</v>
      </c>
      <c r="Q57" s="11">
        <v>139.63804793035865</v>
      </c>
      <c r="R57" s="11">
        <v>138.84948762981003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>
      <c r="B58" t="s">
        <v>770</v>
      </c>
      <c r="C58" s="11">
        <v>6492.8800542648742</v>
      </c>
      <c r="D58" s="11">
        <v>6298.1899609575157</v>
      </c>
      <c r="E58" s="156">
        <v>6098.8604481123548</v>
      </c>
      <c r="F58" s="11">
        <v>6075.5857003744723</v>
      </c>
      <c r="G58" s="11">
        <v>6245.2177494034268</v>
      </c>
      <c r="H58" s="11">
        <v>6247.5291109376421</v>
      </c>
      <c r="I58" s="11">
        <v>6260.31064145044</v>
      </c>
      <c r="J58" s="11">
        <v>6207.3264312486635</v>
      </c>
      <c r="K58" s="11">
        <v>5447.6857384560117</v>
      </c>
      <c r="L58" s="11">
        <v>5365.8506509641602</v>
      </c>
      <c r="M58" s="11">
        <v>4588.807722772608</v>
      </c>
      <c r="N58" s="11">
        <v>4482.6038832049026</v>
      </c>
      <c r="O58" s="11">
        <v>4363.0350037998423</v>
      </c>
      <c r="P58" s="11">
        <v>4227.5235193181306</v>
      </c>
      <c r="Q58" s="11">
        <v>4079.5691052284924</v>
      </c>
      <c r="R58" s="11">
        <v>3917.5304646728846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>
      <c r="B59" t="s">
        <v>771</v>
      </c>
      <c r="C59" s="11">
        <v>4647.3136237900853</v>
      </c>
      <c r="D59" s="11">
        <v>4540.5182132098598</v>
      </c>
      <c r="E59" s="156">
        <v>4516.9333963028475</v>
      </c>
      <c r="F59" s="11">
        <v>4546.2207816121081</v>
      </c>
      <c r="G59" s="11">
        <v>4482.7998222286215</v>
      </c>
      <c r="H59" s="11">
        <v>4409.0026070147323</v>
      </c>
      <c r="I59" s="11">
        <v>4350.8958456806668</v>
      </c>
      <c r="J59" s="11">
        <v>4276.4341460037895</v>
      </c>
      <c r="K59" s="11">
        <v>4232.6244283062142</v>
      </c>
      <c r="L59" s="11">
        <v>4183.294309879594</v>
      </c>
      <c r="M59" s="11">
        <v>4131.2894712200441</v>
      </c>
      <c r="N59" s="11">
        <v>4097.4396662810886</v>
      </c>
      <c r="O59" s="11">
        <v>4063.4711012170751</v>
      </c>
      <c r="P59" s="11">
        <v>4026.4487135698337</v>
      </c>
      <c r="Q59" s="11">
        <v>3992.0526424563154</v>
      </c>
      <c r="R59" s="11">
        <v>3960.7834728130606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>
      <c r="B60" t="s">
        <v>772</v>
      </c>
      <c r="C60" s="11">
        <v>1236.1651847748631</v>
      </c>
      <c r="D60" s="11">
        <v>1148.4695341196659</v>
      </c>
      <c r="E60" s="156">
        <v>1291.4974770303495</v>
      </c>
      <c r="F60" s="11">
        <v>1310.377761894415</v>
      </c>
      <c r="G60" s="11">
        <v>1315.4306536850495</v>
      </c>
      <c r="H60" s="11">
        <v>1303.0866563029324</v>
      </c>
      <c r="I60" s="11">
        <v>1113.0319164924779</v>
      </c>
      <c r="J60" s="11">
        <v>1105.5677133806564</v>
      </c>
      <c r="K60" s="11">
        <v>954.46533293965683</v>
      </c>
      <c r="L60" s="11">
        <v>945.33798204172865</v>
      </c>
      <c r="M60" s="11">
        <v>771.25708507984621</v>
      </c>
      <c r="N60" s="11">
        <v>765.57512955440575</v>
      </c>
      <c r="O60" s="11">
        <v>761.00133919183111</v>
      </c>
      <c r="P60" s="11">
        <v>757.35577633542016</v>
      </c>
      <c r="Q60" s="11">
        <v>753.60055164161724</v>
      </c>
      <c r="R60" s="11">
        <v>749.87156527582215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>
      <c r="B61" t="s">
        <v>351</v>
      </c>
      <c r="C61" s="311">
        <v>17732.875307450562</v>
      </c>
      <c r="D61" s="275">
        <v>17385.563061096822</v>
      </c>
      <c r="E61" s="276">
        <v>15031.679670574336</v>
      </c>
      <c r="F61" s="275">
        <v>14737.564553861797</v>
      </c>
      <c r="G61" s="275">
        <v>15468.175027003494</v>
      </c>
      <c r="H61" s="275">
        <v>14880.003909667435</v>
      </c>
      <c r="I61" s="275">
        <v>14565.021409551149</v>
      </c>
      <c r="J61" s="275">
        <v>14436.215832060177</v>
      </c>
      <c r="K61" s="275">
        <v>13521.301401497465</v>
      </c>
      <c r="L61" s="275">
        <v>12910.321588709299</v>
      </c>
      <c r="M61" s="275">
        <v>11627.357276689227</v>
      </c>
      <c r="N61" s="275">
        <v>11475.92194433777</v>
      </c>
      <c r="O61" s="275">
        <v>11315.540744595966</v>
      </c>
      <c r="P61" s="275">
        <v>11127.723782545161</v>
      </c>
      <c r="Q61" s="275">
        <v>10930.213354888718</v>
      </c>
      <c r="R61" s="275">
        <v>10728.664322823481</v>
      </c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</row>
    <row r="62" spans="1:33">
      <c r="B62" t="s">
        <v>773</v>
      </c>
      <c r="C62" s="11">
        <v>13192.241771054001</v>
      </c>
      <c r="D62" s="11">
        <v>13846.170045214722</v>
      </c>
      <c r="E62" s="156">
        <v>13684.42861894897</v>
      </c>
      <c r="F62" s="11">
        <v>14322.39190042315</v>
      </c>
      <c r="G62" s="11">
        <v>14324.939761410242</v>
      </c>
      <c r="H62" s="11">
        <v>14317.80470662593</v>
      </c>
      <c r="I62" s="11">
        <v>14265.724646237953</v>
      </c>
      <c r="J62" s="11">
        <v>14160.752676811388</v>
      </c>
      <c r="K62" s="11">
        <v>13999.450981563212</v>
      </c>
      <c r="L62" s="11">
        <v>13848.929881369118</v>
      </c>
      <c r="M62" s="11">
        <v>13685.207202809144</v>
      </c>
      <c r="N62" s="11">
        <v>13499.240186713459</v>
      </c>
      <c r="O62" s="11">
        <v>13296.382676378276</v>
      </c>
      <c r="P62" s="11">
        <v>13064.209165470826</v>
      </c>
      <c r="Q62" s="11">
        <v>12785.29841847738</v>
      </c>
      <c r="R62" s="11">
        <v>12510.455809503019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4" spans="1:33">
      <c r="A64" s="262" t="s">
        <v>774</v>
      </c>
      <c r="B64" s="262"/>
      <c r="C64" s="272"/>
      <c r="D64" s="273"/>
      <c r="E64" s="274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</row>
    <row r="65" spans="1:33">
      <c r="A65" s="1" t="s">
        <v>775</v>
      </c>
      <c r="C65" s="275">
        <v>39563.932013000929</v>
      </c>
      <c r="D65" s="277">
        <v>39638.525040920977</v>
      </c>
      <c r="E65" s="276">
        <v>39126.281256949995</v>
      </c>
      <c r="F65" s="277">
        <v>39325.913286657677</v>
      </c>
      <c r="G65" s="275">
        <v>39601.783161717249</v>
      </c>
      <c r="H65" s="275">
        <v>39649.051267934614</v>
      </c>
      <c r="I65" s="275">
        <v>39481.603614441585</v>
      </c>
      <c r="J65" s="275">
        <v>39580.538168632855</v>
      </c>
      <c r="K65" s="275">
        <v>39439.472271356513</v>
      </c>
      <c r="L65" s="275">
        <v>39529.305748807186</v>
      </c>
      <c r="M65" s="275">
        <v>39379.816828806121</v>
      </c>
      <c r="N65" s="275">
        <v>39465.108116543357</v>
      </c>
      <c r="O65" s="275">
        <v>39546.108624174085</v>
      </c>
      <c r="P65" s="275">
        <v>39623.662932095474</v>
      </c>
      <c r="Q65" s="275">
        <v>39697.24921919177</v>
      </c>
      <c r="R65" s="275">
        <v>39767.50583512702</v>
      </c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</row>
    <row r="66" spans="1:33">
      <c r="A66" s="1"/>
      <c r="B66" t="s">
        <v>776</v>
      </c>
      <c r="C66" s="275">
        <v>13283.986955768469</v>
      </c>
      <c r="D66" s="277">
        <v>13559.382897066829</v>
      </c>
      <c r="E66" s="276">
        <v>13411.737710074511</v>
      </c>
      <c r="F66" s="277">
        <v>13732.71359834901</v>
      </c>
      <c r="G66" s="275">
        <v>13752.255227248437</v>
      </c>
      <c r="H66" s="275">
        <v>13793.790948434742</v>
      </c>
      <c r="I66" s="275">
        <v>13857.845957801766</v>
      </c>
      <c r="J66" s="275">
        <v>13919.721383302754</v>
      </c>
      <c r="K66" s="275">
        <v>13979.515572517652</v>
      </c>
      <c r="L66" s="275">
        <v>14037.168921952267</v>
      </c>
      <c r="M66" s="275">
        <v>14092.649258288362</v>
      </c>
      <c r="N66" s="275">
        <v>14145.821110019919</v>
      </c>
      <c r="O66" s="275">
        <v>14196.447808163754</v>
      </c>
      <c r="P66" s="275">
        <v>14245.038247887253</v>
      </c>
      <c r="Q66" s="275">
        <v>14291.277345236265</v>
      </c>
      <c r="R66" s="275">
        <v>14335.539780753041</v>
      </c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</row>
    <row r="67" spans="1:33">
      <c r="A67" s="1"/>
      <c r="B67" t="s">
        <v>777</v>
      </c>
      <c r="C67" s="275">
        <v>9134.4730492688086</v>
      </c>
      <c r="D67" s="277">
        <v>9290.3837198374094</v>
      </c>
      <c r="E67" s="276">
        <v>9349.8864478632204</v>
      </c>
      <c r="F67" s="277">
        <v>9516.3590503012183</v>
      </c>
      <c r="G67" s="275">
        <v>9500.814512446108</v>
      </c>
      <c r="H67" s="275">
        <v>9501.2619724392625</v>
      </c>
      <c r="I67" s="275">
        <v>9517.9026881210648</v>
      </c>
      <c r="J67" s="275">
        <v>9533.6674822806235</v>
      </c>
      <c r="K67" s="275">
        <v>9548.6180735656817</v>
      </c>
      <c r="L67" s="275">
        <v>9562.7080344523911</v>
      </c>
      <c r="M67" s="275">
        <v>9576.0867750745292</v>
      </c>
      <c r="N67" s="275">
        <v>9588.6280682701272</v>
      </c>
      <c r="O67" s="275">
        <v>9600.1409183554297</v>
      </c>
      <c r="P67" s="275">
        <v>9610.941233180416</v>
      </c>
      <c r="Q67" s="275">
        <v>9620.7891214615011</v>
      </c>
      <c r="R67" s="275">
        <v>9629.9121266240381</v>
      </c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</row>
    <row r="68" spans="1:33">
      <c r="A68" s="1"/>
      <c r="B68" t="s">
        <v>339</v>
      </c>
      <c r="C68" s="275">
        <v>2763.9859226048884</v>
      </c>
      <c r="D68" s="277">
        <v>2661.6605975609918</v>
      </c>
      <c r="E68" s="276">
        <v>2421.9264836678217</v>
      </c>
      <c r="F68" s="277">
        <v>2473.5213105211042</v>
      </c>
      <c r="G68" s="275">
        <v>2482.7865032793397</v>
      </c>
      <c r="H68" s="275">
        <v>2491.6218054771739</v>
      </c>
      <c r="I68" s="275">
        <v>2500.0455735949536</v>
      </c>
      <c r="J68" s="275">
        <v>2508.075536167642</v>
      </c>
      <c r="K68" s="275">
        <v>2515.7287991426078</v>
      </c>
      <c r="L68" s="275">
        <v>2523.021853203908</v>
      </c>
      <c r="M68" s="275">
        <v>2529.9705827880166</v>
      </c>
      <c r="N68" s="275">
        <v>2536.5902765414917</v>
      </c>
      <c r="O68" s="275">
        <v>2542.8956389948589</v>
      </c>
      <c r="P68" s="275">
        <v>2548.9008032491383</v>
      </c>
      <c r="Q68" s="275">
        <v>2554.6193444919363</v>
      </c>
      <c r="R68" s="275">
        <v>2560.0642941789847</v>
      </c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</row>
    <row r="69" spans="1:33">
      <c r="A69" s="1"/>
      <c r="B69" t="s">
        <v>778</v>
      </c>
      <c r="C69" s="275">
        <v>14381.486085358767</v>
      </c>
      <c r="D69" s="277">
        <v>14127.097826455747</v>
      </c>
      <c r="E69" s="276">
        <v>13942.730615344442</v>
      </c>
      <c r="F69" s="277">
        <v>13603.319327486344</v>
      </c>
      <c r="G69" s="275">
        <v>13865.926918743362</v>
      </c>
      <c r="H69" s="275">
        <v>13862.376541583439</v>
      </c>
      <c r="I69" s="275">
        <v>13605.809394923799</v>
      </c>
      <c r="J69" s="275">
        <v>13619.073766881833</v>
      </c>
      <c r="K69" s="275">
        <v>13395.609826130574</v>
      </c>
      <c r="L69" s="275">
        <v>13406.406939198621</v>
      </c>
      <c r="M69" s="275">
        <v>13181.110212655214</v>
      </c>
      <c r="N69" s="275">
        <v>13194.068661711823</v>
      </c>
      <c r="O69" s="275">
        <v>13206.62425866004</v>
      </c>
      <c r="P69" s="275">
        <v>13218.782647778664</v>
      </c>
      <c r="Q69" s="275">
        <v>13230.563408002068</v>
      </c>
      <c r="R69" s="275">
        <v>13241.989633570955</v>
      </c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</row>
    <row r="70" spans="1:33">
      <c r="A70" s="1" t="s">
        <v>779</v>
      </c>
      <c r="C70" s="275">
        <v>56.858920819142831</v>
      </c>
      <c r="D70" s="277">
        <v>80.54810972038355</v>
      </c>
      <c r="E70" s="276">
        <v>154.02616743468437</v>
      </c>
      <c r="F70" s="277">
        <v>188.89700166311235</v>
      </c>
      <c r="G70" s="275">
        <v>893.57958793178113</v>
      </c>
      <c r="H70" s="275">
        <v>1364.469863375663</v>
      </c>
      <c r="I70" s="275">
        <v>1791.7514506966268</v>
      </c>
      <c r="J70" s="275">
        <v>2382.6248453610324</v>
      </c>
      <c r="K70" s="275">
        <v>2977.8435215521281</v>
      </c>
      <c r="L70" s="275">
        <v>3556.3599530811639</v>
      </c>
      <c r="M70" s="275">
        <v>3854.1718444571834</v>
      </c>
      <c r="N70" s="275">
        <v>4142.9520888792231</v>
      </c>
      <c r="O70" s="275">
        <v>4443.1215469524286</v>
      </c>
      <c r="P70" s="275">
        <v>4780.6282524615344</v>
      </c>
      <c r="Q70" s="275">
        <v>5171.8960041194714</v>
      </c>
      <c r="R70" s="275">
        <v>5551.1652157344215</v>
      </c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</row>
    <row r="71" spans="1:33">
      <c r="A71" s="1"/>
      <c r="B71" t="s">
        <v>776</v>
      </c>
      <c r="C71" s="275">
        <v>0</v>
      </c>
      <c r="D71" s="277">
        <v>0</v>
      </c>
      <c r="E71" s="276">
        <v>0</v>
      </c>
      <c r="F71" s="277">
        <v>-96.986234073356172</v>
      </c>
      <c r="G71" s="275">
        <v>-46.653973930000575</v>
      </c>
      <c r="H71" s="275">
        <v>32.874828175965376</v>
      </c>
      <c r="I71" s="275">
        <v>53.436649917532122</v>
      </c>
      <c r="J71" s="275">
        <v>129.9277601036938</v>
      </c>
      <c r="K71" s="275">
        <v>171.76020323385092</v>
      </c>
      <c r="L71" s="275">
        <v>221.53201256164539</v>
      </c>
      <c r="M71" s="275">
        <v>267.49952672599284</v>
      </c>
      <c r="N71" s="275">
        <v>286.45745945533417</v>
      </c>
      <c r="O71" s="275">
        <v>301.720182166624</v>
      </c>
      <c r="P71" s="275">
        <v>318.10664553187598</v>
      </c>
      <c r="Q71" s="275">
        <v>332.48680554894963</v>
      </c>
      <c r="R71" s="275">
        <v>344.49438031819591</v>
      </c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</row>
    <row r="72" spans="1:33">
      <c r="A72" s="1"/>
      <c r="B72" t="s">
        <v>777</v>
      </c>
      <c r="C72" s="275">
        <v>0</v>
      </c>
      <c r="D72" s="277">
        <v>0</v>
      </c>
      <c r="E72" s="276">
        <v>0</v>
      </c>
      <c r="F72" s="277">
        <v>5.235447647408364</v>
      </c>
      <c r="G72" s="275">
        <v>45.725514313733584</v>
      </c>
      <c r="H72" s="275">
        <v>77.749921052725767</v>
      </c>
      <c r="I72" s="275">
        <v>113.98671073219157</v>
      </c>
      <c r="J72" s="275">
        <v>149.81924506634823</v>
      </c>
      <c r="K72" s="275">
        <v>170.8726985109115</v>
      </c>
      <c r="L72" s="275">
        <v>191.35841832399456</v>
      </c>
      <c r="M72" s="275">
        <v>215.6502548343251</v>
      </c>
      <c r="N72" s="275">
        <v>232.71070787563986</v>
      </c>
      <c r="O72" s="275">
        <v>249.94034946148167</v>
      </c>
      <c r="P72" s="275">
        <v>267.97502963779698</v>
      </c>
      <c r="Q72" s="275">
        <v>286.15081556219775</v>
      </c>
      <c r="R72" s="275">
        <v>301.76701552870509</v>
      </c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</row>
    <row r="73" spans="1:33">
      <c r="A73" s="1"/>
      <c r="B73" t="s">
        <v>339</v>
      </c>
      <c r="C73" s="275">
        <v>0</v>
      </c>
      <c r="D73" s="277">
        <v>0</v>
      </c>
      <c r="E73" s="276">
        <v>0</v>
      </c>
      <c r="F73" s="277">
        <v>-9.4479646743448029</v>
      </c>
      <c r="G73" s="275">
        <v>-6.1455798942738511</v>
      </c>
      <c r="H73" s="275">
        <v>1.3994468678051817</v>
      </c>
      <c r="I73" s="275">
        <v>1.2954441091651461</v>
      </c>
      <c r="J73" s="275">
        <v>1.9401661594979487</v>
      </c>
      <c r="K73" s="275">
        <v>2.5789201886209412</v>
      </c>
      <c r="L73" s="275">
        <v>3.2116723958615694</v>
      </c>
      <c r="M73" s="275">
        <v>3.8383890541954315</v>
      </c>
      <c r="N73" s="275">
        <v>4.459036640425893</v>
      </c>
      <c r="O73" s="275">
        <v>5.0735819489691494</v>
      </c>
      <c r="P73" s="275">
        <v>5.6819921906035233</v>
      </c>
      <c r="Q73" s="275">
        <v>6.2842350774981242</v>
      </c>
      <c r="R73" s="275">
        <v>6.8802788957441408</v>
      </c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</row>
    <row r="74" spans="1:33">
      <c r="A74" s="1"/>
      <c r="B74" t="s">
        <v>778</v>
      </c>
      <c r="C74" s="275">
        <v>0</v>
      </c>
      <c r="D74" s="277">
        <v>0</v>
      </c>
      <c r="E74" s="276">
        <v>0</v>
      </c>
      <c r="F74" s="277">
        <v>21.441323926370387</v>
      </c>
      <c r="G74" s="275">
        <v>261.48912357828584</v>
      </c>
      <c r="H74" s="275">
        <v>245.34299439598487</v>
      </c>
      <c r="I74" s="275">
        <v>224.2472867049546</v>
      </c>
      <c r="J74" s="275">
        <v>265.65349313116235</v>
      </c>
      <c r="K74" s="275">
        <v>316.88264854295949</v>
      </c>
      <c r="L74" s="275">
        <v>343.71383362249276</v>
      </c>
      <c r="M74" s="275">
        <v>371.53283126423048</v>
      </c>
      <c r="N74" s="275">
        <v>396.77560899257151</v>
      </c>
      <c r="O74" s="275">
        <v>421.73527916567946</v>
      </c>
      <c r="P74" s="275">
        <v>445.75392017986633</v>
      </c>
      <c r="Q74" s="275">
        <v>469.57145886951002</v>
      </c>
      <c r="R74" s="275">
        <v>493.22084274084773</v>
      </c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</row>
    <row r="75" spans="1:33">
      <c r="A75" s="1"/>
      <c r="B75" t="s">
        <v>780</v>
      </c>
      <c r="C75" s="275">
        <v>56.858920819142831</v>
      </c>
      <c r="D75" s="277">
        <v>80.54810972038355</v>
      </c>
      <c r="E75" s="276">
        <v>154.02616743468437</v>
      </c>
      <c r="F75" s="277">
        <v>268.65442883703457</v>
      </c>
      <c r="G75" s="275">
        <v>331.48857100894531</v>
      </c>
      <c r="H75" s="275">
        <v>382.41452948327179</v>
      </c>
      <c r="I75" s="275">
        <v>457.05341940056559</v>
      </c>
      <c r="J75" s="275">
        <v>576.41785046886821</v>
      </c>
      <c r="K75" s="275">
        <v>739.55937513052322</v>
      </c>
      <c r="L75" s="275">
        <v>902.85233277379541</v>
      </c>
      <c r="M75" s="275">
        <v>1090.7118732776364</v>
      </c>
      <c r="N75" s="275">
        <v>1303.3475992286287</v>
      </c>
      <c r="O75" s="275">
        <v>1531.2239472012391</v>
      </c>
      <c r="P75" s="275">
        <v>1790.7123558326891</v>
      </c>
      <c r="Q75" s="275">
        <v>2110.856307347583</v>
      </c>
      <c r="R75" s="275">
        <v>2423.4564607189877</v>
      </c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</row>
    <row r="76" spans="1:33">
      <c r="A76" s="1"/>
      <c r="B76" t="s">
        <v>781</v>
      </c>
      <c r="C76" s="275">
        <v>0</v>
      </c>
      <c r="D76" s="277">
        <v>0</v>
      </c>
      <c r="E76" s="276">
        <v>0</v>
      </c>
      <c r="F76" s="277">
        <v>0</v>
      </c>
      <c r="G76" s="275">
        <v>1.3425995217576201</v>
      </c>
      <c r="H76" s="275">
        <v>12.021476733243389</v>
      </c>
      <c r="I76" s="275">
        <v>22.73193983221779</v>
      </c>
      <c r="J76" s="275">
        <v>33.532997098128931</v>
      </c>
      <c r="K76" s="275">
        <v>44.523009278595509</v>
      </c>
      <c r="L76" s="275">
        <v>55.691683403374327</v>
      </c>
      <c r="M76" s="275">
        <v>66.938969300803365</v>
      </c>
      <c r="N76" s="275">
        <v>81.201676686622704</v>
      </c>
      <c r="O76" s="275">
        <v>95.428207008435948</v>
      </c>
      <c r="P76" s="275">
        <v>114.39830908870204</v>
      </c>
      <c r="Q76" s="275">
        <v>128.5463817137329</v>
      </c>
      <c r="R76" s="275">
        <v>143.34623753194046</v>
      </c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</row>
    <row r="77" spans="1:33">
      <c r="A77" s="1"/>
      <c r="B77" t="s">
        <v>782</v>
      </c>
      <c r="C77" s="275">
        <v>0</v>
      </c>
      <c r="D77" s="277">
        <v>0</v>
      </c>
      <c r="E77" s="276">
        <v>0</v>
      </c>
      <c r="F77" s="277">
        <v>0</v>
      </c>
      <c r="G77" s="275">
        <v>306.33333333333331</v>
      </c>
      <c r="H77" s="275">
        <v>612.66666666666663</v>
      </c>
      <c r="I77" s="275">
        <v>919</v>
      </c>
      <c r="J77" s="275">
        <v>1225.3333333333333</v>
      </c>
      <c r="K77" s="275">
        <v>1531.6666666666665</v>
      </c>
      <c r="L77" s="275">
        <v>1837.9999999999998</v>
      </c>
      <c r="M77" s="275">
        <v>1838</v>
      </c>
      <c r="N77" s="275">
        <v>1838</v>
      </c>
      <c r="O77" s="275">
        <v>1838</v>
      </c>
      <c r="P77" s="275">
        <v>1838</v>
      </c>
      <c r="Q77" s="275">
        <v>1838</v>
      </c>
      <c r="R77" s="275">
        <v>1838</v>
      </c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</row>
    <row r="78" spans="1:33">
      <c r="A78" s="1" t="s">
        <v>150</v>
      </c>
      <c r="C78" s="275">
        <v>39620.79093382007</v>
      </c>
      <c r="D78" s="277">
        <v>39719.073150641358</v>
      </c>
      <c r="E78" s="276">
        <v>39280.307424384679</v>
      </c>
      <c r="F78" s="277">
        <v>39514.81028832079</v>
      </c>
      <c r="G78" s="275">
        <v>40495.362749649015</v>
      </c>
      <c r="H78" s="275">
        <v>41013.521131310263</v>
      </c>
      <c r="I78" s="275">
        <v>41273.355065138225</v>
      </c>
      <c r="J78" s="275">
        <v>41963.163013993886</v>
      </c>
      <c r="K78" s="275">
        <v>42417.315792908637</v>
      </c>
      <c r="L78" s="275">
        <v>43085.665701888349</v>
      </c>
      <c r="M78" s="275">
        <v>43233.988673263302</v>
      </c>
      <c r="N78" s="275">
        <v>43608.060205422582</v>
      </c>
      <c r="O78" s="275">
        <v>43989.23017112651</v>
      </c>
      <c r="P78" s="275">
        <v>44404.291184557005</v>
      </c>
      <c r="Q78" s="275">
        <v>44869.145223311243</v>
      </c>
      <c r="R78" s="275">
        <v>45318.671050861441</v>
      </c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</row>
    <row r="79" spans="1:33">
      <c r="A79" s="1"/>
      <c r="B79" s="278" t="s">
        <v>783</v>
      </c>
      <c r="C79" s="279">
        <v>0</v>
      </c>
      <c r="D79" s="280">
        <v>0</v>
      </c>
      <c r="E79" s="281">
        <v>0</v>
      </c>
      <c r="F79" s="280">
        <v>0</v>
      </c>
      <c r="G79" s="279">
        <v>0</v>
      </c>
      <c r="H79" s="279">
        <v>0</v>
      </c>
      <c r="I79" s="279">
        <v>0</v>
      </c>
      <c r="J79" s="279">
        <v>0</v>
      </c>
      <c r="K79" s="279">
        <v>0</v>
      </c>
      <c r="L79" s="279">
        <v>0</v>
      </c>
      <c r="M79" s="279">
        <v>0</v>
      </c>
      <c r="N79" s="279">
        <v>0</v>
      </c>
      <c r="O79" s="279">
        <v>0</v>
      </c>
      <c r="P79" s="279">
        <v>0</v>
      </c>
      <c r="Q79" s="279">
        <v>0</v>
      </c>
      <c r="R79" s="279">
        <v>0</v>
      </c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</row>
    <row r="80" spans="1:33">
      <c r="A80" s="1"/>
    </row>
    <row r="81" spans="1:33">
      <c r="A81" s="262" t="s">
        <v>784</v>
      </c>
      <c r="B81" s="262"/>
      <c r="C81" s="272"/>
      <c r="D81" s="273"/>
      <c r="E81" s="274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</row>
    <row r="82" spans="1:33">
      <c r="A82" s="282" t="s">
        <v>785</v>
      </c>
      <c r="B82" t="s">
        <v>786</v>
      </c>
      <c r="C82" s="275">
        <v>24023.925472948402</v>
      </c>
      <c r="D82" s="277">
        <v>23992.385725084052</v>
      </c>
      <c r="E82" s="276">
        <v>26013.444019127881</v>
      </c>
      <c r="F82" s="277">
        <v>26309.682389303744</v>
      </c>
      <c r="G82" s="275">
        <v>24049.40302063393</v>
      </c>
      <c r="H82" s="275">
        <v>24049.40302063393</v>
      </c>
      <c r="I82" s="275">
        <v>24049.40302063393</v>
      </c>
      <c r="J82" s="275">
        <v>24049.40302063393</v>
      </c>
      <c r="K82" s="275">
        <v>24052.341512277646</v>
      </c>
      <c r="L82" s="275">
        <v>24063.614972449384</v>
      </c>
      <c r="M82" s="275">
        <v>24064.892768709364</v>
      </c>
      <c r="N82" s="275">
        <v>24065.574068864353</v>
      </c>
      <c r="O82" s="275">
        <v>24066.469287126438</v>
      </c>
      <c r="P82" s="275">
        <v>24067.294998954065</v>
      </c>
      <c r="Q82" s="275">
        <v>24067.995058617224</v>
      </c>
      <c r="R82" s="275">
        <v>24068.833235574646</v>
      </c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</row>
    <row r="83" spans="1:33">
      <c r="A83" s="1"/>
      <c r="B83" t="s">
        <v>787</v>
      </c>
      <c r="C83" s="275">
        <v>7778.0811815964398</v>
      </c>
      <c r="D83" s="277">
        <v>7917.7939017710796</v>
      </c>
      <c r="E83" s="276">
        <v>7983.5896186215496</v>
      </c>
      <c r="F83" s="277">
        <v>7708.993259657399</v>
      </c>
      <c r="G83" s="275">
        <v>8247.2704886849115</v>
      </c>
      <c r="H83" s="275">
        <v>9488.0091243245697</v>
      </c>
      <c r="I83" s="275">
        <v>10356.7712596574</v>
      </c>
      <c r="J83" s="275">
        <v>10356.7712596574</v>
      </c>
      <c r="K83" s="275">
        <v>10362.835095729744</v>
      </c>
      <c r="L83" s="275">
        <v>10390.598764728227</v>
      </c>
      <c r="M83" s="275">
        <v>10394.357375820455</v>
      </c>
      <c r="N83" s="275">
        <v>10396.473546150066</v>
      </c>
      <c r="O83" s="275">
        <v>10399.181033510537</v>
      </c>
      <c r="P83" s="275">
        <v>10402.042801132855</v>
      </c>
      <c r="Q83" s="275">
        <v>10404.830348539699</v>
      </c>
      <c r="R83" s="275">
        <v>10407.68274884114</v>
      </c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</row>
    <row r="84" spans="1:33">
      <c r="A84" s="1"/>
      <c r="B84" t="s">
        <v>788</v>
      </c>
      <c r="C84" s="275">
        <v>2282.2129960058091</v>
      </c>
      <c r="D84" s="277">
        <v>2616.2910358610711</v>
      </c>
      <c r="E84" s="276">
        <v>2836.8570418875529</v>
      </c>
      <c r="F84" s="277">
        <v>3196.2109408263641</v>
      </c>
      <c r="G84" s="275">
        <v>3865.4158946444368</v>
      </c>
      <c r="H84" s="275">
        <v>3993.8454697545658</v>
      </c>
      <c r="I84" s="275">
        <v>4103.2204697545658</v>
      </c>
      <c r="J84" s="275">
        <v>4518.8454697545658</v>
      </c>
      <c r="K84" s="275">
        <v>4528.0707447678142</v>
      </c>
      <c r="L84" s="275">
        <v>4648.4808522268368</v>
      </c>
      <c r="M84" s="275">
        <v>4669.3833475883375</v>
      </c>
      <c r="N84" s="275">
        <v>4682.6104110186234</v>
      </c>
      <c r="O84" s="275">
        <v>4702.3198951614604</v>
      </c>
      <c r="P84" s="275">
        <v>4717.0485546147856</v>
      </c>
      <c r="Q84" s="275">
        <v>4726.3055563566777</v>
      </c>
      <c r="R84" s="275">
        <v>4736.4529808267298</v>
      </c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</row>
    <row r="85" spans="1:33">
      <c r="A85" s="1"/>
      <c r="B85" t="s">
        <v>789</v>
      </c>
      <c r="C85" s="275">
        <v>0</v>
      </c>
      <c r="D85" s="277">
        <v>0</v>
      </c>
      <c r="E85" s="276">
        <v>0</v>
      </c>
      <c r="F85" s="277">
        <v>0</v>
      </c>
      <c r="G85" s="275">
        <v>0</v>
      </c>
      <c r="H85" s="275">
        <v>0</v>
      </c>
      <c r="I85" s="275">
        <v>0</v>
      </c>
      <c r="J85" s="275">
        <v>0</v>
      </c>
      <c r="K85" s="275">
        <v>0</v>
      </c>
      <c r="L85" s="275">
        <v>0</v>
      </c>
      <c r="M85" s="275">
        <v>0</v>
      </c>
      <c r="N85" s="275">
        <v>0</v>
      </c>
      <c r="O85" s="275">
        <v>0</v>
      </c>
      <c r="P85" s="275">
        <v>0</v>
      </c>
      <c r="Q85" s="275">
        <v>0</v>
      </c>
      <c r="R85" s="275">
        <v>0</v>
      </c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</row>
    <row r="86" spans="1:33">
      <c r="A86" s="1"/>
      <c r="B86" t="s">
        <v>790</v>
      </c>
      <c r="C86" s="275">
        <v>159.36280721696431</v>
      </c>
      <c r="D86" s="277">
        <v>208.08555525090409</v>
      </c>
      <c r="E86" s="276">
        <v>281.47428596401403</v>
      </c>
      <c r="F86" s="277">
        <v>366.64739340893817</v>
      </c>
      <c r="G86" s="275">
        <v>425.82508742814412</v>
      </c>
      <c r="H86" s="275">
        <v>483.81548850499337</v>
      </c>
      <c r="I86" s="275">
        <v>540.68452164838845</v>
      </c>
      <c r="J86" s="275">
        <v>597.95771829078126</v>
      </c>
      <c r="K86" s="275">
        <v>655.62931339525278</v>
      </c>
      <c r="L86" s="275">
        <v>713.69331808683467</v>
      </c>
      <c r="M86" s="275">
        <v>772.14359872615091</v>
      </c>
      <c r="N86" s="275">
        <v>830.97356185406318</v>
      </c>
      <c r="O86" s="275">
        <v>890.17583914139698</v>
      </c>
      <c r="P86" s="275">
        <v>949.74457362810347</v>
      </c>
      <c r="Q86" s="275">
        <v>1009.6728975331923</v>
      </c>
      <c r="R86" s="275">
        <v>1069.955060850994</v>
      </c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</row>
    <row r="87" spans="1:33">
      <c r="A87" s="1"/>
      <c r="B87" t="s">
        <v>791</v>
      </c>
      <c r="C87" s="275">
        <v>0</v>
      </c>
      <c r="D87" s="277">
        <v>0</v>
      </c>
      <c r="E87" s="276">
        <v>0</v>
      </c>
      <c r="F87" s="277">
        <v>0</v>
      </c>
      <c r="G87" s="275">
        <v>111.05651355506691</v>
      </c>
      <c r="H87" s="275">
        <v>404.61569809371758</v>
      </c>
      <c r="I87" s="275">
        <v>543.1306210910551</v>
      </c>
      <c r="J87" s="275">
        <v>545.13943670395372</v>
      </c>
      <c r="K87" s="275">
        <v>775.78706625112829</v>
      </c>
      <c r="L87" s="275">
        <v>1279.7713282129323</v>
      </c>
      <c r="M87" s="275">
        <v>1307.7050933159387</v>
      </c>
      <c r="N87" s="275">
        <v>1310.4963266149769</v>
      </c>
      <c r="O87" s="275">
        <v>1306.1915951200592</v>
      </c>
      <c r="P87" s="275">
        <v>1301.4168154362451</v>
      </c>
      <c r="Q87" s="275">
        <v>1298.0018921691367</v>
      </c>
      <c r="R87" s="275">
        <v>1290.4039123100902</v>
      </c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</row>
    <row r="88" spans="1:33">
      <c r="A88" s="1"/>
      <c r="B88" t="s">
        <v>703</v>
      </c>
      <c r="C88" s="275">
        <v>209.88888570849872</v>
      </c>
      <c r="D88" s="277">
        <v>203.0858135613006</v>
      </c>
      <c r="E88" s="276">
        <v>204.00514760999897</v>
      </c>
      <c r="F88" s="277">
        <v>182.89586075622765</v>
      </c>
      <c r="G88" s="275">
        <v>182.89586075622765</v>
      </c>
      <c r="H88" s="275">
        <v>182.89586075622765</v>
      </c>
      <c r="I88" s="275">
        <v>182.89586075622765</v>
      </c>
      <c r="J88" s="275">
        <v>182.89586075622765</v>
      </c>
      <c r="K88" s="275">
        <v>182.89586075622765</v>
      </c>
      <c r="L88" s="275">
        <v>773.80495166531853</v>
      </c>
      <c r="M88" s="275">
        <v>773.80495166531853</v>
      </c>
      <c r="N88" s="275">
        <v>773.80495166531864</v>
      </c>
      <c r="O88" s="275">
        <v>773.80495166531853</v>
      </c>
      <c r="P88" s="275">
        <v>773.80495166531864</v>
      </c>
      <c r="Q88" s="275">
        <v>773.80495166531864</v>
      </c>
      <c r="R88" s="275">
        <v>773.80495166531853</v>
      </c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</row>
    <row r="89" spans="1:33">
      <c r="A89" s="1"/>
      <c r="B89" t="s">
        <v>792</v>
      </c>
      <c r="C89" s="275">
        <v>12.798058359087143</v>
      </c>
      <c r="D89" s="277">
        <v>25.566400689974863</v>
      </c>
      <c r="E89" s="276">
        <v>6.79836075425969</v>
      </c>
      <c r="F89" s="277">
        <v>4.4769927705088328</v>
      </c>
      <c r="G89" s="275">
        <v>10</v>
      </c>
      <c r="H89" s="275">
        <v>10</v>
      </c>
      <c r="I89" s="275">
        <v>10</v>
      </c>
      <c r="J89" s="275">
        <v>10</v>
      </c>
      <c r="K89" s="275">
        <v>10</v>
      </c>
      <c r="L89" s="275">
        <v>10</v>
      </c>
      <c r="M89" s="275">
        <v>10</v>
      </c>
      <c r="N89" s="275">
        <v>10</v>
      </c>
      <c r="O89" s="275">
        <v>10</v>
      </c>
      <c r="P89" s="275">
        <v>10</v>
      </c>
      <c r="Q89" s="275">
        <v>10</v>
      </c>
      <c r="R89" s="275">
        <v>10</v>
      </c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</row>
    <row r="90" spans="1:33">
      <c r="A90" s="1"/>
      <c r="B90" t="s">
        <v>793</v>
      </c>
      <c r="C90" s="275">
        <v>1575.5341689115473</v>
      </c>
      <c r="D90" s="277">
        <v>2376.7824131594821</v>
      </c>
      <c r="E90" s="276">
        <v>671.81600594598012</v>
      </c>
      <c r="F90" s="277">
        <v>449.89858841247087</v>
      </c>
      <c r="G90" s="275">
        <v>417.44771385964873</v>
      </c>
      <c r="H90" s="275">
        <v>486.71576743466329</v>
      </c>
      <c r="I90" s="275">
        <v>543.86167404990772</v>
      </c>
      <c r="J90" s="275">
        <v>581.39616893653749</v>
      </c>
      <c r="K90" s="275">
        <v>622.19133698455869</v>
      </c>
      <c r="L90" s="275">
        <v>130.72800553511149</v>
      </c>
      <c r="M90" s="275">
        <v>154.54708995209444</v>
      </c>
      <c r="N90" s="275">
        <v>196.12070976156144</v>
      </c>
      <c r="O90" s="275">
        <v>224.45545477761675</v>
      </c>
      <c r="P90" s="275">
        <v>231.91337541958342</v>
      </c>
      <c r="Q90" s="275">
        <v>238.3225801377389</v>
      </c>
      <c r="R90" s="275">
        <v>259.33885570462257</v>
      </c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</row>
    <row r="91" spans="1:33">
      <c r="A91" s="1"/>
      <c r="B91" t="s">
        <v>529</v>
      </c>
      <c r="C91" s="275">
        <v>5060.6589645436898</v>
      </c>
      <c r="D91" s="277">
        <v>3799.7843484925129</v>
      </c>
      <c r="E91" s="276">
        <v>3520.6272751640336</v>
      </c>
      <c r="F91" s="277">
        <v>3432.9858963486067</v>
      </c>
      <c r="G91" s="275">
        <v>5582.9437257727895</v>
      </c>
      <c r="H91" s="275">
        <v>4261.4712869882987</v>
      </c>
      <c r="I91" s="275">
        <v>4001.0607399850846</v>
      </c>
      <c r="J91" s="275">
        <v>3935.7136709039678</v>
      </c>
      <c r="K91" s="275">
        <v>4063.7747187270561</v>
      </c>
      <c r="L91" s="275">
        <v>4566.4958608072211</v>
      </c>
      <c r="M91" s="275">
        <v>4055.0596613460566</v>
      </c>
      <c r="N91" s="275">
        <v>3967.4459409699384</v>
      </c>
      <c r="O91" s="275">
        <v>3910.9533698203008</v>
      </c>
      <c r="P91" s="275">
        <v>3871.9594542322106</v>
      </c>
      <c r="Q91" s="275">
        <v>3835.4991158557273</v>
      </c>
      <c r="R91" s="275">
        <v>3787.6533960833103</v>
      </c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</row>
    <row r="92" spans="1:33">
      <c r="A92" t="s">
        <v>794</v>
      </c>
      <c r="B92" t="s">
        <v>787</v>
      </c>
      <c r="C92" s="275">
        <v>55.489250000000538</v>
      </c>
      <c r="D92" s="277">
        <v>50.499250000000757</v>
      </c>
      <c r="E92" s="276">
        <v>49.127999999990607</v>
      </c>
      <c r="F92" s="277">
        <v>49.127999999990607</v>
      </c>
      <c r="G92" s="275">
        <v>49.127999999990607</v>
      </c>
      <c r="H92" s="275">
        <v>49.127999999990607</v>
      </c>
      <c r="I92" s="275">
        <v>49.127999999990607</v>
      </c>
      <c r="J92" s="275">
        <v>49.127999999990607</v>
      </c>
      <c r="K92" s="275">
        <v>49.127999999990607</v>
      </c>
      <c r="L92" s="275">
        <v>49.127999999990607</v>
      </c>
      <c r="M92" s="275">
        <v>49.127999999990607</v>
      </c>
      <c r="N92" s="275">
        <v>49.127999999990607</v>
      </c>
      <c r="O92" s="275">
        <v>49.127999999990607</v>
      </c>
      <c r="P92" s="275">
        <v>49.127999999990607</v>
      </c>
      <c r="Q92" s="275">
        <v>49.127999999990607</v>
      </c>
      <c r="R92" s="275">
        <v>49.127999999990607</v>
      </c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</row>
    <row r="93" spans="1:33">
      <c r="A93" s="1"/>
      <c r="B93" t="s">
        <v>795</v>
      </c>
      <c r="C93" s="275">
        <v>61.493674978642986</v>
      </c>
      <c r="D93" s="277">
        <v>62.344778345798005</v>
      </c>
      <c r="E93" s="276">
        <v>61.509252500000002</v>
      </c>
      <c r="F93" s="277">
        <v>61.509252500000002</v>
      </c>
      <c r="G93" s="275">
        <v>61.509252500000002</v>
      </c>
      <c r="H93" s="275">
        <v>61.509252500000002</v>
      </c>
      <c r="I93" s="275">
        <v>61.509252500000002</v>
      </c>
      <c r="J93" s="275">
        <v>61.509252500000002</v>
      </c>
      <c r="K93" s="275">
        <v>61.509252500000002</v>
      </c>
      <c r="L93" s="275">
        <v>61.509252500000002</v>
      </c>
      <c r="M93" s="275">
        <v>61.509252500000002</v>
      </c>
      <c r="N93" s="275">
        <v>61.509252500000002</v>
      </c>
      <c r="O93" s="275">
        <v>61.509252500000002</v>
      </c>
      <c r="P93" s="275">
        <v>61.509252500000002</v>
      </c>
      <c r="Q93" s="275">
        <v>61.509252500000002</v>
      </c>
      <c r="R93" s="275">
        <v>61.509252500000002</v>
      </c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</row>
    <row r="94" spans="1:33">
      <c r="A94" s="1"/>
      <c r="B94" t="s">
        <v>796</v>
      </c>
      <c r="C94" s="275">
        <v>459.55249507923003</v>
      </c>
      <c r="D94" s="277">
        <v>483.16050719264098</v>
      </c>
      <c r="E94" s="276">
        <v>438.80561433795401</v>
      </c>
      <c r="F94" s="277">
        <v>438.80561433795401</v>
      </c>
      <c r="G94" s="275">
        <v>438.80561433795401</v>
      </c>
      <c r="H94" s="275">
        <v>438.80561433795401</v>
      </c>
      <c r="I94" s="275">
        <v>438.80561433795401</v>
      </c>
      <c r="J94" s="275">
        <v>438.80561433795401</v>
      </c>
      <c r="K94" s="275">
        <v>438.80561433795401</v>
      </c>
      <c r="L94" s="275">
        <v>438.80561433795401</v>
      </c>
      <c r="M94" s="275">
        <v>438.80561433795401</v>
      </c>
      <c r="N94" s="275">
        <v>438.80561433795401</v>
      </c>
      <c r="O94" s="275">
        <v>438.80561433795401</v>
      </c>
      <c r="P94" s="275">
        <v>438.80561433795401</v>
      </c>
      <c r="Q94" s="275">
        <v>438.80561433795401</v>
      </c>
      <c r="R94" s="275">
        <v>438.80561433795401</v>
      </c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</row>
    <row r="95" spans="1:33">
      <c r="A95" s="1"/>
      <c r="B95" t="s">
        <v>797</v>
      </c>
      <c r="C95" s="275">
        <v>39.580750000000002</v>
      </c>
      <c r="D95" s="277">
        <v>43.119913735454404</v>
      </c>
      <c r="E95" s="276">
        <v>39.714678411818099</v>
      </c>
      <c r="F95" s="277">
        <v>39.714678411818099</v>
      </c>
      <c r="G95" s="275">
        <v>39.714678411818099</v>
      </c>
      <c r="H95" s="275">
        <v>39.714678411818099</v>
      </c>
      <c r="I95" s="275">
        <v>39.714678411818099</v>
      </c>
      <c r="J95" s="275">
        <v>39.714678411818099</v>
      </c>
      <c r="K95" s="275">
        <v>39.714678411818099</v>
      </c>
      <c r="L95" s="275">
        <v>39.714678411818099</v>
      </c>
      <c r="M95" s="275">
        <v>39.714678411818099</v>
      </c>
      <c r="N95" s="275">
        <v>39.714678411818099</v>
      </c>
      <c r="O95" s="275">
        <v>39.714678411818099</v>
      </c>
      <c r="P95" s="275">
        <v>39.714678411818099</v>
      </c>
      <c r="Q95" s="275">
        <v>39.714678411818099</v>
      </c>
      <c r="R95" s="275">
        <v>39.714678411818099</v>
      </c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</row>
    <row r="96" spans="1:33">
      <c r="A96" s="1"/>
      <c r="B96" t="s">
        <v>792</v>
      </c>
      <c r="C96" s="275">
        <v>0.2399904368629997</v>
      </c>
      <c r="D96" s="277">
        <v>9.4181436863102874E-2</v>
      </c>
      <c r="E96" s="276">
        <v>0</v>
      </c>
      <c r="F96" s="277">
        <v>0</v>
      </c>
      <c r="G96" s="275">
        <v>0</v>
      </c>
      <c r="H96" s="275">
        <v>0</v>
      </c>
      <c r="I96" s="275">
        <v>0</v>
      </c>
      <c r="J96" s="275">
        <v>0</v>
      </c>
      <c r="K96" s="275">
        <v>0</v>
      </c>
      <c r="L96" s="275">
        <v>0</v>
      </c>
      <c r="M96" s="275">
        <v>0</v>
      </c>
      <c r="N96" s="275">
        <v>0</v>
      </c>
      <c r="O96" s="275">
        <v>0</v>
      </c>
      <c r="P96" s="275">
        <v>0</v>
      </c>
      <c r="Q96" s="275">
        <v>0</v>
      </c>
      <c r="R96" s="275">
        <v>0</v>
      </c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</row>
    <row r="97" spans="1:34">
      <c r="A97" s="1"/>
      <c r="B97" t="s">
        <v>793</v>
      </c>
      <c r="C97" s="275">
        <v>583.36522471953981</v>
      </c>
      <c r="D97" s="277">
        <v>643.45934798421013</v>
      </c>
      <c r="E97" s="276">
        <v>582.10524072530097</v>
      </c>
      <c r="F97" s="277">
        <v>582.10524072530097</v>
      </c>
      <c r="G97" s="275">
        <v>582.10524072530097</v>
      </c>
      <c r="H97" s="275">
        <v>582.10524072530097</v>
      </c>
      <c r="I97" s="275">
        <v>225.72856733800523</v>
      </c>
      <c r="J97" s="275">
        <v>225.72856733800523</v>
      </c>
      <c r="K97" s="275">
        <v>225.72856733800523</v>
      </c>
      <c r="L97" s="275">
        <v>225.72856733800523</v>
      </c>
      <c r="M97" s="275">
        <v>225.72856733800523</v>
      </c>
      <c r="N97" s="275">
        <v>225.72856733800523</v>
      </c>
      <c r="O97" s="275">
        <v>225.72856733800523</v>
      </c>
      <c r="P97" s="275">
        <v>225.72856733800523</v>
      </c>
      <c r="Q97" s="275">
        <v>225.72856733800523</v>
      </c>
      <c r="R97" s="275">
        <v>225.72856733800523</v>
      </c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</row>
    <row r="98" spans="1:34">
      <c r="A98" s="1"/>
      <c r="B98" t="s">
        <v>529</v>
      </c>
      <c r="C98" s="275">
        <v>872.88119945195012</v>
      </c>
      <c r="D98" s="277">
        <v>850.89328777811033</v>
      </c>
      <c r="E98" s="276">
        <v>789.87424647619991</v>
      </c>
      <c r="F98" s="277">
        <v>657.72983083446934</v>
      </c>
      <c r="G98" s="275">
        <v>556.1418773779327</v>
      </c>
      <c r="H98" s="275">
        <v>556.1418773779327</v>
      </c>
      <c r="I98" s="275">
        <v>556.1418773779327</v>
      </c>
      <c r="J98" s="275">
        <v>556.1418773779327</v>
      </c>
      <c r="K98" s="275">
        <v>556.1418773779327</v>
      </c>
      <c r="L98" s="275">
        <v>556.1418773779327</v>
      </c>
      <c r="M98" s="275">
        <v>556.1418773779327</v>
      </c>
      <c r="N98" s="275">
        <v>556.1418773779327</v>
      </c>
      <c r="O98" s="275">
        <v>556.1418773779327</v>
      </c>
      <c r="P98" s="275">
        <v>556.1418773779327</v>
      </c>
      <c r="Q98" s="275">
        <v>556.1418773779327</v>
      </c>
      <c r="R98" s="275">
        <v>556.1418773779327</v>
      </c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</row>
    <row r="99" spans="1:34">
      <c r="A99" t="s">
        <v>798</v>
      </c>
      <c r="C99" s="275">
        <v>0</v>
      </c>
      <c r="D99" s="277">
        <v>0</v>
      </c>
      <c r="E99" s="276">
        <v>0</v>
      </c>
      <c r="F99" s="277">
        <v>66.20678776231216</v>
      </c>
      <c r="G99" s="275">
        <v>-86.160206567510613</v>
      </c>
      <c r="H99" s="275">
        <v>-3.6810874428556417</v>
      </c>
      <c r="I99" s="275">
        <v>-332.77954787517956</v>
      </c>
      <c r="J99" s="275">
        <v>-32.110607987015101</v>
      </c>
      <c r="K99" s="275">
        <v>-19.858374935509346</v>
      </c>
      <c r="L99" s="275">
        <v>-615.23923468959401</v>
      </c>
      <c r="M99" s="275">
        <v>-666.59494536223065</v>
      </c>
      <c r="N99" s="275">
        <v>-869.36550784593419</v>
      </c>
      <c r="O99" s="275">
        <v>-1081.6769578699023</v>
      </c>
      <c r="P99" s="275">
        <v>-1255.1246883800777</v>
      </c>
      <c r="Q99" s="275">
        <v>-1367.0884823220476</v>
      </c>
      <c r="R99" s="275">
        <v>-1496.9479978816235</v>
      </c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</row>
    <row r="100" spans="1:34">
      <c r="A100" s="1"/>
      <c r="C100" s="275"/>
      <c r="D100" s="275"/>
      <c r="E100" s="276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164"/>
    </row>
    <row r="101" spans="1:34">
      <c r="A101" s="262" t="s">
        <v>799</v>
      </c>
      <c r="B101" s="262"/>
      <c r="C101" s="272"/>
      <c r="D101" s="273"/>
      <c r="E101" s="274"/>
      <c r="F101" s="283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</row>
    <row r="102" spans="1:34">
      <c r="A102" s="1"/>
      <c r="B102" t="s">
        <v>786</v>
      </c>
      <c r="C102" s="275">
        <v>5100.5</v>
      </c>
      <c r="D102" s="277">
        <v>5100.5</v>
      </c>
      <c r="E102" s="276">
        <v>5100.5</v>
      </c>
      <c r="F102" s="277">
        <v>5100.5</v>
      </c>
      <c r="G102" s="275">
        <v>5100.5</v>
      </c>
      <c r="H102" s="275">
        <v>5100.5</v>
      </c>
      <c r="I102" s="275">
        <v>5100.5</v>
      </c>
      <c r="J102" s="275">
        <v>5100.5</v>
      </c>
      <c r="K102" s="275">
        <v>5101.1094811863431</v>
      </c>
      <c r="L102" s="275">
        <v>5103.4477426867143</v>
      </c>
      <c r="M102" s="275">
        <v>5103.7127741636978</v>
      </c>
      <c r="N102" s="275">
        <v>5103.8540846307906</v>
      </c>
      <c r="O102" s="275">
        <v>5104.0397644810555</v>
      </c>
      <c r="P102" s="275">
        <v>5104.2110277975107</v>
      </c>
      <c r="Q102" s="275">
        <v>5104.3562292293145</v>
      </c>
      <c r="R102" s="275">
        <v>5104.5300779749678</v>
      </c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</row>
    <row r="103" spans="1:34">
      <c r="A103" s="1"/>
      <c r="B103" t="s">
        <v>787</v>
      </c>
      <c r="C103" s="275">
        <v>985.89007802829622</v>
      </c>
      <c r="D103" s="277">
        <v>1003.5989938108195</v>
      </c>
      <c r="E103" s="276">
        <v>1011.9387556241982</v>
      </c>
      <c r="F103" s="277">
        <v>977.13302147912361</v>
      </c>
      <c r="G103" s="275">
        <v>1045.3609258859876</v>
      </c>
      <c r="H103" s="275">
        <v>1202.6274652476195</v>
      </c>
      <c r="I103" s="275">
        <v>1312.7451085833395</v>
      </c>
      <c r="J103" s="275">
        <v>1312.7451085833395</v>
      </c>
      <c r="K103" s="275">
        <v>1313.5137140631409</v>
      </c>
      <c r="L103" s="275">
        <v>1317.032824388195</v>
      </c>
      <c r="M103" s="275">
        <v>1317.5092371815922</v>
      </c>
      <c r="N103" s="275">
        <v>1317.7774667465292</v>
      </c>
      <c r="O103" s="275">
        <v>1318.1206471354651</v>
      </c>
      <c r="P103" s="275">
        <v>1318.4833829103422</v>
      </c>
      <c r="Q103" s="275">
        <v>1318.8367110983977</v>
      </c>
      <c r="R103" s="275">
        <v>1319.198259543329</v>
      </c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</row>
    <row r="104" spans="1:34">
      <c r="A104" s="1"/>
      <c r="B104" t="s">
        <v>788</v>
      </c>
      <c r="C104" s="275">
        <v>650.87069244975157</v>
      </c>
      <c r="D104" s="277">
        <v>746.14734082280154</v>
      </c>
      <c r="E104" s="276">
        <v>809.05117553261266</v>
      </c>
      <c r="F104" s="277">
        <v>911.53631668559319</v>
      </c>
      <c r="G104" s="275">
        <v>1102.3887447651257</v>
      </c>
      <c r="H104" s="275">
        <v>1139.0159336511995</v>
      </c>
      <c r="I104" s="275">
        <v>1170.2088950931343</v>
      </c>
      <c r="J104" s="275">
        <v>1288.742148572486</v>
      </c>
      <c r="K104" s="275">
        <v>1291.3731304950416</v>
      </c>
      <c r="L104" s="275">
        <v>1325.7132250247655</v>
      </c>
      <c r="M104" s="275">
        <v>1331.6744660016932</v>
      </c>
      <c r="N104" s="275">
        <v>1335.446729129199</v>
      </c>
      <c r="O104" s="275">
        <v>1341.0677319077859</v>
      </c>
      <c r="P104" s="275">
        <v>1345.2682393950449</v>
      </c>
      <c r="Q104" s="275">
        <v>1347.90826955187</v>
      </c>
      <c r="R104" s="275">
        <v>1350.8022418511093</v>
      </c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</row>
    <row r="105" spans="1:34">
      <c r="A105" s="1"/>
      <c r="B105" t="s">
        <v>789</v>
      </c>
      <c r="C105" s="275">
        <v>0</v>
      </c>
      <c r="D105" s="277">
        <v>0</v>
      </c>
      <c r="E105" s="276">
        <v>0</v>
      </c>
      <c r="F105" s="277">
        <v>0</v>
      </c>
      <c r="G105" s="275">
        <v>0</v>
      </c>
      <c r="H105" s="275">
        <v>0</v>
      </c>
      <c r="I105" s="275">
        <v>0</v>
      </c>
      <c r="J105" s="275">
        <v>0</v>
      </c>
      <c r="K105" s="275">
        <v>0</v>
      </c>
      <c r="L105" s="275">
        <v>0</v>
      </c>
      <c r="M105" s="275">
        <v>0</v>
      </c>
      <c r="N105" s="275">
        <v>0</v>
      </c>
      <c r="O105" s="275">
        <v>0</v>
      </c>
      <c r="P105" s="275">
        <v>0</v>
      </c>
      <c r="Q105" s="275">
        <v>0</v>
      </c>
      <c r="R105" s="275">
        <v>0</v>
      </c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</row>
    <row r="106" spans="1:34">
      <c r="A106" s="1"/>
      <c r="B106" t="s">
        <v>790</v>
      </c>
      <c r="C106" s="275">
        <v>129.85463904123424</v>
      </c>
      <c r="D106" s="277">
        <v>169.55571465312741</v>
      </c>
      <c r="E106" s="276">
        <v>229.35553434048271</v>
      </c>
      <c r="F106" s="277">
        <v>298.75769483470077</v>
      </c>
      <c r="G106" s="275">
        <v>346.97784249873223</v>
      </c>
      <c r="H106" s="275">
        <v>394.23054048514825</v>
      </c>
      <c r="I106" s="275">
        <v>440.56950690035239</v>
      </c>
      <c r="J106" s="275">
        <v>487.23780050420555</v>
      </c>
      <c r="K106" s="275">
        <v>534.23072373394996</v>
      </c>
      <c r="L106" s="275">
        <v>581.5433966354052</v>
      </c>
      <c r="M106" s="275">
        <v>629.17082129506116</v>
      </c>
      <c r="N106" s="275">
        <v>677.10762512146209</v>
      </c>
      <c r="O106" s="275">
        <v>725.34780413072986</v>
      </c>
      <c r="P106" s="275">
        <v>773.88658585778126</v>
      </c>
      <c r="Q106" s="275">
        <v>822.71837418369046</v>
      </c>
      <c r="R106" s="275">
        <v>871.83848379371102</v>
      </c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</row>
    <row r="107" spans="1:34">
      <c r="A107" s="1"/>
      <c r="B107" t="s">
        <v>791</v>
      </c>
      <c r="C107" s="275">
        <v>0</v>
      </c>
      <c r="D107" s="277">
        <v>0</v>
      </c>
      <c r="E107" s="276">
        <v>0</v>
      </c>
      <c r="F107" s="277">
        <v>0</v>
      </c>
      <c r="G107" s="275">
        <v>63.34503396935142</v>
      </c>
      <c r="H107" s="275">
        <v>230.78695989831027</v>
      </c>
      <c r="I107" s="275">
        <v>309.79387468118586</v>
      </c>
      <c r="J107" s="275">
        <v>310.93967414097295</v>
      </c>
      <c r="K107" s="275">
        <v>442.49775624636561</v>
      </c>
      <c r="L107" s="275">
        <v>729.96311214518153</v>
      </c>
      <c r="M107" s="275">
        <v>745.89612897327095</v>
      </c>
      <c r="N107" s="275">
        <v>747.48820819927948</v>
      </c>
      <c r="O107" s="275">
        <v>745.03285142599782</v>
      </c>
      <c r="P107" s="275">
        <v>742.30938594355746</v>
      </c>
      <c r="Q107" s="275">
        <v>740.36156295296405</v>
      </c>
      <c r="R107" s="275">
        <v>736.02778479927554</v>
      </c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</row>
    <row r="108" spans="1:34">
      <c r="A108" s="1"/>
      <c r="B108" t="s">
        <v>703</v>
      </c>
      <c r="C108" s="275">
        <v>28.168845634671221</v>
      </c>
      <c r="D108" s="277">
        <v>27.255816397753435</v>
      </c>
      <c r="E108" s="276">
        <v>27.379198723678247</v>
      </c>
      <c r="F108" s="277">
        <v>24.546155702678487</v>
      </c>
      <c r="G108" s="275">
        <v>24.546155702678487</v>
      </c>
      <c r="H108" s="275">
        <v>24.546155702678487</v>
      </c>
      <c r="I108" s="275">
        <v>24.546155702678487</v>
      </c>
      <c r="J108" s="275">
        <v>24.546155702678487</v>
      </c>
      <c r="K108" s="275">
        <v>24.546155702678487</v>
      </c>
      <c r="L108" s="275">
        <v>103.85110274527501</v>
      </c>
      <c r="M108" s="275">
        <v>183.15604978787152</v>
      </c>
      <c r="N108" s="275">
        <v>262.46099683046805</v>
      </c>
      <c r="O108" s="275">
        <v>341.76594387306454</v>
      </c>
      <c r="P108" s="275">
        <v>421.0708909156611</v>
      </c>
      <c r="Q108" s="275">
        <v>500.37583795825765</v>
      </c>
      <c r="R108" s="275">
        <v>579.68078500085426</v>
      </c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</row>
    <row r="109" spans="1:34">
      <c r="A109" s="1"/>
      <c r="B109" t="s">
        <v>800</v>
      </c>
      <c r="C109" s="275">
        <v>780</v>
      </c>
      <c r="D109" s="277">
        <v>780</v>
      </c>
      <c r="E109" s="276">
        <v>780</v>
      </c>
      <c r="F109" s="277">
        <v>780</v>
      </c>
      <c r="G109" s="275">
        <v>780</v>
      </c>
      <c r="H109" s="275">
        <v>400</v>
      </c>
      <c r="I109" s="275">
        <v>400</v>
      </c>
      <c r="J109" s="275">
        <v>400</v>
      </c>
      <c r="K109" s="275">
        <v>400</v>
      </c>
      <c r="L109" s="275">
        <v>400</v>
      </c>
      <c r="M109" s="275">
        <v>400</v>
      </c>
      <c r="N109" s="275">
        <v>400</v>
      </c>
      <c r="O109" s="275">
        <v>400</v>
      </c>
      <c r="P109" s="275">
        <v>400</v>
      </c>
      <c r="Q109" s="275">
        <v>400</v>
      </c>
      <c r="R109" s="275">
        <v>400</v>
      </c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</row>
    <row r="110" spans="1:34">
      <c r="A110" s="1"/>
      <c r="B110" t="s">
        <v>801</v>
      </c>
      <c r="C110" s="275">
        <v>750</v>
      </c>
      <c r="D110" s="277">
        <v>750</v>
      </c>
      <c r="E110" s="276">
        <v>750</v>
      </c>
      <c r="F110" s="277">
        <v>750</v>
      </c>
      <c r="G110" s="275">
        <v>750</v>
      </c>
      <c r="H110" s="275">
        <v>750</v>
      </c>
      <c r="I110" s="275">
        <v>750</v>
      </c>
      <c r="J110" s="275">
        <v>750</v>
      </c>
      <c r="K110" s="275">
        <v>750</v>
      </c>
      <c r="L110" s="275">
        <v>750</v>
      </c>
      <c r="M110" s="275">
        <v>750</v>
      </c>
      <c r="N110" s="275">
        <v>750</v>
      </c>
      <c r="O110" s="275">
        <v>750</v>
      </c>
      <c r="P110" s="275">
        <v>750</v>
      </c>
      <c r="Q110" s="275">
        <v>750</v>
      </c>
      <c r="R110" s="275">
        <v>750</v>
      </c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</row>
    <row r="111" spans="1:34">
      <c r="A111" s="1"/>
      <c r="B111" t="s">
        <v>802</v>
      </c>
      <c r="C111" s="275">
        <v>605</v>
      </c>
      <c r="D111" s="277">
        <v>605</v>
      </c>
      <c r="E111" s="276">
        <v>605</v>
      </c>
      <c r="F111" s="277">
        <v>605</v>
      </c>
      <c r="G111" s="275">
        <v>605</v>
      </c>
      <c r="H111" s="275">
        <v>605</v>
      </c>
      <c r="I111" s="275">
        <v>605</v>
      </c>
      <c r="J111" s="275">
        <v>605</v>
      </c>
      <c r="K111" s="275">
        <v>605</v>
      </c>
      <c r="L111" s="275">
        <v>605</v>
      </c>
      <c r="M111" s="275">
        <v>605</v>
      </c>
      <c r="N111" s="275">
        <v>605</v>
      </c>
      <c r="O111" s="275">
        <v>605</v>
      </c>
      <c r="P111" s="275">
        <v>605</v>
      </c>
      <c r="Q111" s="275">
        <v>605</v>
      </c>
      <c r="R111" s="275">
        <v>605</v>
      </c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</row>
    <row r="112" spans="1:34">
      <c r="A112" s="1"/>
      <c r="B112" t="s">
        <v>803</v>
      </c>
      <c r="C112" s="275">
        <v>6895.2842551539534</v>
      </c>
      <c r="D112" s="277">
        <v>7047.0578656845018</v>
      </c>
      <c r="E112" s="276">
        <v>7178.2246642209711</v>
      </c>
      <c r="F112" s="277">
        <v>7312.4731887020953</v>
      </c>
      <c r="G112" s="275">
        <v>7683.1187028218765</v>
      </c>
      <c r="H112" s="275">
        <v>8091.7070549849568</v>
      </c>
      <c r="I112" s="275">
        <v>8358.3635409606904</v>
      </c>
      <c r="J112" s="275">
        <v>8524.7108875036847</v>
      </c>
      <c r="K112" s="275">
        <v>8707.2709614275209</v>
      </c>
      <c r="L112" s="275">
        <v>9161.5514036255336</v>
      </c>
      <c r="M112" s="275">
        <v>9311.1194774031883</v>
      </c>
      <c r="N112" s="275">
        <v>9444.1351106577276</v>
      </c>
      <c r="O112" s="275">
        <v>9575.3747429540963</v>
      </c>
      <c r="P112" s="275">
        <v>9705.2295128199003</v>
      </c>
      <c r="Q112" s="275">
        <v>9834.5569849744952</v>
      </c>
      <c r="R112" s="275">
        <v>9962.0776329632426</v>
      </c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164"/>
    </row>
    <row r="113" spans="1:33">
      <c r="A113" s="1"/>
      <c r="B113" t="s">
        <v>804</v>
      </c>
      <c r="C113" s="275">
        <v>2135</v>
      </c>
      <c r="D113" s="277">
        <v>2135</v>
      </c>
      <c r="E113" s="276">
        <v>2135</v>
      </c>
      <c r="F113" s="277">
        <v>2135</v>
      </c>
      <c r="G113" s="275">
        <v>2135</v>
      </c>
      <c r="H113" s="275">
        <v>1755</v>
      </c>
      <c r="I113" s="275">
        <v>1755</v>
      </c>
      <c r="J113" s="275">
        <v>1755</v>
      </c>
      <c r="K113" s="275">
        <v>1755</v>
      </c>
      <c r="L113" s="275">
        <v>1755</v>
      </c>
      <c r="M113" s="275">
        <v>1755</v>
      </c>
      <c r="N113" s="275">
        <v>1755</v>
      </c>
      <c r="O113" s="275">
        <v>1755</v>
      </c>
      <c r="P113" s="275">
        <v>1755</v>
      </c>
      <c r="Q113" s="275">
        <v>1755</v>
      </c>
      <c r="R113" s="275">
        <v>1755</v>
      </c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</row>
    <row r="114" spans="1:33">
      <c r="A114" s="1" t="s">
        <v>150</v>
      </c>
      <c r="C114" s="275">
        <v>9030.2842551539543</v>
      </c>
      <c r="D114" s="277">
        <v>9182.0578656845028</v>
      </c>
      <c r="E114" s="276">
        <v>9313.224664220972</v>
      </c>
      <c r="F114" s="277">
        <v>9447.4731887020953</v>
      </c>
      <c r="G114" s="275">
        <v>9818.1187028218774</v>
      </c>
      <c r="H114" s="275">
        <v>9846.7070549849559</v>
      </c>
      <c r="I114" s="275">
        <v>10113.36354096069</v>
      </c>
      <c r="J114" s="275">
        <v>10279.710887503685</v>
      </c>
      <c r="K114" s="275">
        <v>10462.270961427521</v>
      </c>
      <c r="L114" s="275">
        <v>10916.551403625534</v>
      </c>
      <c r="M114" s="275">
        <v>11066.119477403188</v>
      </c>
      <c r="N114" s="275">
        <v>11199.135110657728</v>
      </c>
      <c r="O114" s="275">
        <v>11330.374742954096</v>
      </c>
      <c r="P114" s="275">
        <v>11460.2295128199</v>
      </c>
      <c r="Q114" s="275">
        <v>11589.556984974495</v>
      </c>
      <c r="R114" s="275">
        <v>11717.077632963243</v>
      </c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</row>
    <row r="115" spans="1:33">
      <c r="A115" s="1"/>
      <c r="B115" s="284" t="s">
        <v>783</v>
      </c>
      <c r="C115" s="285">
        <v>0</v>
      </c>
      <c r="D115" s="285">
        <v>0</v>
      </c>
      <c r="E115" s="286">
        <v>0</v>
      </c>
      <c r="F115" s="285">
        <v>0</v>
      </c>
      <c r="G115" s="287">
        <v>0</v>
      </c>
      <c r="H115" s="287">
        <v>5.318001295658914E-2</v>
      </c>
      <c r="I115" s="287">
        <v>8.7886815791458295E-2</v>
      </c>
      <c r="J115" s="287">
        <v>0.10953783446983656</v>
      </c>
      <c r="K115" s="287">
        <v>0.13329902845695862</v>
      </c>
      <c r="L115" s="287">
        <v>0.19242611730841208</v>
      </c>
      <c r="M115" s="288">
        <v>0.21189322169178193</v>
      </c>
      <c r="N115" s="285">
        <v>0</v>
      </c>
      <c r="O115" s="285">
        <v>0</v>
      </c>
      <c r="P115" s="285">
        <v>0</v>
      </c>
      <c r="Q115" s="285">
        <v>0</v>
      </c>
      <c r="R115" s="285">
        <v>0</v>
      </c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</row>
    <row r="116" spans="1:33">
      <c r="A116" s="1"/>
    </row>
    <row r="117" spans="1:33">
      <c r="A117" s="262" t="s">
        <v>805</v>
      </c>
      <c r="B117" s="262"/>
      <c r="C117" s="272"/>
      <c r="D117" s="273"/>
      <c r="E117" s="274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</row>
    <row r="118" spans="1:33">
      <c r="A118" s="1"/>
      <c r="B118" t="s">
        <v>806</v>
      </c>
      <c r="C118" s="33">
        <v>0.83823375093145525</v>
      </c>
      <c r="D118" s="289">
        <v>0.84924241483784146</v>
      </c>
      <c r="E118" s="290">
        <v>0.89885881381014732</v>
      </c>
      <c r="F118" s="289">
        <v>0.90666988209678745</v>
      </c>
      <c r="G118" s="33">
        <v>0.85959055799904005</v>
      </c>
      <c r="H118" s="33">
        <v>0.89025609366342229</v>
      </c>
      <c r="I118" s="33">
        <v>0.89647476301161166</v>
      </c>
      <c r="J118" s="33">
        <v>0.89882903154332983</v>
      </c>
      <c r="K118" s="33">
        <v>0.89618584111814026</v>
      </c>
      <c r="L118" s="33">
        <v>0.89758000309816444</v>
      </c>
      <c r="M118" s="36">
        <v>0.90851903090655228</v>
      </c>
      <c r="N118" s="33">
        <v>0.91032959679854031</v>
      </c>
      <c r="O118" s="33">
        <v>0.91174078912131817</v>
      </c>
      <c r="P118" s="33">
        <v>0.91325252811786128</v>
      </c>
      <c r="Q118" s="33">
        <v>0.91480871036553157</v>
      </c>
      <c r="R118" s="33">
        <v>0.91623498794034175</v>
      </c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1:33">
      <c r="A119" s="1"/>
      <c r="B119" t="s">
        <v>807</v>
      </c>
      <c r="C119" s="33">
        <v>0.81226484351783623</v>
      </c>
      <c r="D119" s="289">
        <v>0.8221404026010688</v>
      </c>
      <c r="E119" s="290">
        <v>0.8718662990374948</v>
      </c>
      <c r="F119" s="289">
        <v>0.88208117355994775</v>
      </c>
      <c r="G119" s="33">
        <v>0.83947752915194918</v>
      </c>
      <c r="H119" s="33">
        <v>0.86921392312019596</v>
      </c>
      <c r="I119" s="33">
        <v>0.88236973343349556</v>
      </c>
      <c r="J119" s="33">
        <v>0.88488261681470892</v>
      </c>
      <c r="K119" s="33">
        <v>0.88246307668836277</v>
      </c>
      <c r="L119" s="33">
        <v>0.88402821292410949</v>
      </c>
      <c r="M119" s="33">
        <v>0.89469828001541551</v>
      </c>
      <c r="N119" s="33">
        <v>0.8965781951712678</v>
      </c>
      <c r="O119" s="33">
        <v>0.89807145837559499</v>
      </c>
      <c r="P119" s="33">
        <v>0.8996694793148603</v>
      </c>
      <c r="Q119" s="33">
        <v>0.90132527033694398</v>
      </c>
      <c r="R119" s="33">
        <v>0.90284797961652541</v>
      </c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1:33">
      <c r="A120" s="1"/>
    </row>
    <row r="121" spans="1:33">
      <c r="A121" s="262" t="s">
        <v>808</v>
      </c>
      <c r="B121" s="262"/>
      <c r="C121" s="272"/>
      <c r="D121" s="273"/>
      <c r="E121" s="274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</row>
    <row r="122" spans="1:33">
      <c r="A122" s="1"/>
      <c r="B122" t="s">
        <v>776</v>
      </c>
      <c r="C122" s="291">
        <v>7.1977803831056324</v>
      </c>
      <c r="D122" s="292">
        <v>7.1907962487067998</v>
      </c>
      <c r="E122" s="293">
        <v>6.7895917953963991</v>
      </c>
      <c r="F122" s="292">
        <v>7.2043864084031997</v>
      </c>
      <c r="G122" s="291">
        <v>6.9259670849912149</v>
      </c>
      <c r="H122" s="291">
        <v>6.679797387228728</v>
      </c>
      <c r="I122" s="291">
        <v>6.2742390874849132</v>
      </c>
      <c r="J122" s="291">
        <v>5.9736870256415076</v>
      </c>
      <c r="K122" s="291">
        <v>5.907940496900804</v>
      </c>
      <c r="L122" s="291">
        <v>5.8504074176481531</v>
      </c>
      <c r="M122" s="291">
        <v>5.7652338709447832</v>
      </c>
      <c r="N122" s="291">
        <v>5.7211333734899092</v>
      </c>
      <c r="O122" s="291">
        <v>5.6718293516190004</v>
      </c>
      <c r="P122" s="291">
        <v>5.6230298559916712</v>
      </c>
      <c r="Q122" s="291">
        <v>5.5616023526116978</v>
      </c>
      <c r="R122" s="291">
        <v>5.5221826563007204</v>
      </c>
      <c r="S122" s="608"/>
      <c r="T122" s="608"/>
      <c r="U122" s="608"/>
      <c r="V122" s="608"/>
      <c r="W122" s="608"/>
      <c r="X122" s="608"/>
      <c r="Y122" s="608"/>
      <c r="Z122" s="608"/>
      <c r="AA122" s="608"/>
      <c r="AB122" s="608"/>
      <c r="AC122" s="608"/>
      <c r="AD122" s="608"/>
      <c r="AE122" s="608"/>
      <c r="AF122" s="608"/>
      <c r="AG122" s="608"/>
    </row>
    <row r="123" spans="1:33">
      <c r="A123" s="1"/>
      <c r="B123" t="s">
        <v>777</v>
      </c>
      <c r="C123" s="291">
        <v>7.87591256581171</v>
      </c>
      <c r="D123" s="292">
        <v>7.6653398256312002</v>
      </c>
      <c r="E123" s="293">
        <v>7.4217349987362349</v>
      </c>
      <c r="F123" s="292">
        <v>7.6972615776503286</v>
      </c>
      <c r="G123" s="291">
        <v>7.3881712656902074</v>
      </c>
      <c r="H123" s="291">
        <v>7.1442264656009939</v>
      </c>
      <c r="I123" s="291">
        <v>6.7150317737298453</v>
      </c>
      <c r="J123" s="291">
        <v>6.4109916649025944</v>
      </c>
      <c r="K123" s="291">
        <v>6.3165182898290873</v>
      </c>
      <c r="L123" s="291">
        <v>6.2447840696385128</v>
      </c>
      <c r="M123" s="291">
        <v>6.111461676901043</v>
      </c>
      <c r="N123" s="291">
        <v>6.0547612537627851</v>
      </c>
      <c r="O123" s="291">
        <v>5.9860168392035131</v>
      </c>
      <c r="P123" s="291">
        <v>5.9208614298762718</v>
      </c>
      <c r="Q123" s="291">
        <v>5.8407431853874314</v>
      </c>
      <c r="R123" s="291">
        <v>5.7978559691320628</v>
      </c>
      <c r="S123" s="608"/>
      <c r="T123" s="608"/>
      <c r="U123" s="608"/>
      <c r="V123" s="608"/>
      <c r="W123" s="608"/>
      <c r="X123" s="608"/>
      <c r="Y123" s="608"/>
      <c r="Z123" s="608"/>
      <c r="AA123" s="608"/>
      <c r="AB123" s="608"/>
      <c r="AC123" s="608"/>
      <c r="AD123" s="608"/>
      <c r="AE123" s="608"/>
      <c r="AF123" s="608"/>
      <c r="AG123" s="608"/>
    </row>
    <row r="124" spans="1:33">
      <c r="A124" s="1"/>
      <c r="B124" t="s">
        <v>778</v>
      </c>
      <c r="C124" s="291">
        <v>43.14804571744078</v>
      </c>
      <c r="D124" s="292">
        <v>41.625300286662124</v>
      </c>
      <c r="E124" s="293">
        <v>39.445216894237916</v>
      </c>
      <c r="F124" s="292">
        <v>39.649956334370941</v>
      </c>
      <c r="G124" s="291">
        <v>38.936061737078219</v>
      </c>
      <c r="H124" s="291">
        <v>38.312905423113278</v>
      </c>
      <c r="I124" s="291">
        <v>38.144051975970932</v>
      </c>
      <c r="J124" s="291">
        <v>38.063490900152132</v>
      </c>
      <c r="K124" s="291">
        <v>38.042665277612116</v>
      </c>
      <c r="L124" s="291">
        <v>37.980971136821267</v>
      </c>
      <c r="M124" s="291">
        <v>37.954842243652124</v>
      </c>
      <c r="N124" s="291">
        <v>37.92453059897921</v>
      </c>
      <c r="O124" s="291">
        <v>37.888970922916805</v>
      </c>
      <c r="P124" s="291">
        <v>37.848106324050228</v>
      </c>
      <c r="Q124" s="291">
        <v>37.800674689669151</v>
      </c>
      <c r="R124" s="291">
        <v>37.748050483845176</v>
      </c>
      <c r="S124" s="608"/>
      <c r="T124" s="608"/>
      <c r="U124" s="608"/>
      <c r="V124" s="608"/>
      <c r="W124" s="608"/>
      <c r="X124" s="608"/>
      <c r="Y124" s="608"/>
      <c r="Z124" s="608"/>
      <c r="AA124" s="608"/>
      <c r="AB124" s="608"/>
      <c r="AC124" s="608"/>
      <c r="AD124" s="608"/>
      <c r="AE124" s="608"/>
      <c r="AF124" s="608"/>
      <c r="AG124" s="608"/>
    </row>
    <row r="125" spans="1:33">
      <c r="A125" s="1"/>
      <c r="B125" t="s">
        <v>768</v>
      </c>
      <c r="C125" s="291">
        <v>41.111001524179997</v>
      </c>
      <c r="D125" s="292">
        <v>30.479160475990501</v>
      </c>
      <c r="E125" s="293">
        <v>29.558362334411129</v>
      </c>
      <c r="F125" s="292">
        <v>32.584543292437061</v>
      </c>
      <c r="G125" s="291">
        <v>45.342667299318421</v>
      </c>
      <c r="H125" s="291">
        <v>34.457432860416851</v>
      </c>
      <c r="I125" s="291">
        <v>31.76888130520355</v>
      </c>
      <c r="J125" s="291">
        <v>31.367485669188319</v>
      </c>
      <c r="K125" s="291">
        <v>32.355931961187714</v>
      </c>
      <c r="L125" s="291">
        <v>30.826946313037503</v>
      </c>
      <c r="M125" s="291">
        <v>26.875933066824572</v>
      </c>
      <c r="N125" s="291">
        <v>26.214236848578139</v>
      </c>
      <c r="O125" s="291">
        <v>25.782987376545407</v>
      </c>
      <c r="P125" s="291">
        <v>25.53317109149237</v>
      </c>
      <c r="Q125" s="291">
        <v>25.275975465832289</v>
      </c>
      <c r="R125" s="291">
        <v>24.950780549200122</v>
      </c>
      <c r="S125" s="608"/>
      <c r="T125" s="608"/>
      <c r="U125" s="608"/>
      <c r="V125" s="608"/>
      <c r="W125" s="608"/>
      <c r="X125" s="608"/>
      <c r="Y125" s="608"/>
      <c r="Z125" s="608"/>
      <c r="AA125" s="608"/>
      <c r="AB125" s="608"/>
      <c r="AC125" s="608"/>
      <c r="AD125" s="608"/>
      <c r="AE125" s="608"/>
      <c r="AF125" s="608"/>
      <c r="AG125" s="608"/>
    </row>
    <row r="126" spans="1:33">
      <c r="A126" s="1"/>
      <c r="B126" t="s">
        <v>809</v>
      </c>
      <c r="C126" s="291">
        <v>77.788522057668445</v>
      </c>
      <c r="D126" s="292">
        <v>63.806533629800001</v>
      </c>
      <c r="E126" s="293">
        <v>59.036497320400002</v>
      </c>
      <c r="F126" s="292">
        <v>63.046228440044999</v>
      </c>
      <c r="G126" s="291">
        <v>72.8</v>
      </c>
      <c r="H126" s="291">
        <v>72.8</v>
      </c>
      <c r="I126" s="291">
        <v>72.8</v>
      </c>
      <c r="J126" s="291">
        <v>72.8</v>
      </c>
      <c r="K126" s="291">
        <v>39.9</v>
      </c>
      <c r="L126" s="291">
        <v>39.9</v>
      </c>
      <c r="M126" s="291">
        <v>7</v>
      </c>
      <c r="N126" s="291">
        <v>7</v>
      </c>
      <c r="O126" s="291">
        <v>7</v>
      </c>
      <c r="P126" s="291">
        <v>7</v>
      </c>
      <c r="Q126" s="291">
        <v>7</v>
      </c>
      <c r="R126" s="291">
        <v>7</v>
      </c>
      <c r="S126" s="608"/>
      <c r="T126" s="608"/>
      <c r="U126" s="608"/>
      <c r="V126" s="608"/>
      <c r="W126" s="608"/>
      <c r="X126" s="608"/>
      <c r="Y126" s="608"/>
      <c r="Z126" s="608"/>
      <c r="AA126" s="608"/>
      <c r="AB126" s="608"/>
      <c r="AC126" s="608"/>
      <c r="AD126" s="608"/>
      <c r="AE126" s="608"/>
      <c r="AF126" s="608"/>
      <c r="AG126" s="608"/>
    </row>
    <row r="127" spans="1:33">
      <c r="A127" s="1" t="s">
        <v>150</v>
      </c>
      <c r="C127" s="291">
        <v>177.12126224820656</v>
      </c>
      <c r="D127" s="292">
        <v>150.7671304667906</v>
      </c>
      <c r="E127" s="293">
        <v>142.25140334318166</v>
      </c>
      <c r="F127" s="292">
        <v>150.18237605290653</v>
      </c>
      <c r="G127" s="291">
        <v>171.39286738707807</v>
      </c>
      <c r="H127" s="291">
        <v>159.39436213635986</v>
      </c>
      <c r="I127" s="291">
        <v>155.70220414238923</v>
      </c>
      <c r="J127" s="291">
        <v>154.61565525988453</v>
      </c>
      <c r="K127" s="291">
        <v>122.52305602552971</v>
      </c>
      <c r="L127" s="291">
        <v>120.80310893714542</v>
      </c>
      <c r="M127" s="291">
        <v>83.707470858322523</v>
      </c>
      <c r="N127" s="291">
        <v>82.914662074810039</v>
      </c>
      <c r="O127" s="291">
        <v>82.329804490284729</v>
      </c>
      <c r="P127" s="291">
        <v>81.925168701410541</v>
      </c>
      <c r="Q127" s="291">
        <v>81.478995693500551</v>
      </c>
      <c r="R127" s="291">
        <v>81.018869658478067</v>
      </c>
      <c r="S127" s="608"/>
      <c r="T127" s="608"/>
      <c r="U127" s="608"/>
      <c r="V127" s="608"/>
      <c r="W127" s="608"/>
      <c r="X127" s="608"/>
      <c r="Y127" s="608"/>
      <c r="Z127" s="608"/>
      <c r="AA127" s="608"/>
      <c r="AB127" s="608"/>
      <c r="AC127" s="608"/>
      <c r="AD127" s="608"/>
      <c r="AE127" s="608"/>
      <c r="AF127" s="608"/>
      <c r="AG127" s="608"/>
    </row>
    <row r="128" spans="1:33">
      <c r="A128" s="1"/>
      <c r="B128" s="284" t="s">
        <v>637</v>
      </c>
      <c r="C128" s="285">
        <v>0</v>
      </c>
      <c r="D128" s="285">
        <v>0</v>
      </c>
      <c r="E128" s="286">
        <v>0</v>
      </c>
      <c r="F128" s="285">
        <v>0</v>
      </c>
      <c r="G128" s="285">
        <v>0</v>
      </c>
      <c r="H128" s="287">
        <v>0</v>
      </c>
      <c r="I128" s="287">
        <v>0</v>
      </c>
      <c r="J128" s="287">
        <v>0</v>
      </c>
      <c r="K128" s="287">
        <v>0</v>
      </c>
      <c r="L128" s="287">
        <v>0</v>
      </c>
      <c r="M128" s="287">
        <v>0</v>
      </c>
      <c r="N128" s="287">
        <v>0</v>
      </c>
      <c r="O128" s="287">
        <v>0</v>
      </c>
      <c r="P128" s="285">
        <v>0</v>
      </c>
      <c r="Q128" s="285">
        <v>0</v>
      </c>
      <c r="R128" s="285">
        <v>0</v>
      </c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</row>
    <row r="129" spans="1:33">
      <c r="A129" s="262" t="s">
        <v>810</v>
      </c>
      <c r="B129" s="262"/>
      <c r="C129" s="272">
        <v>2020</v>
      </c>
      <c r="D129" s="273">
        <v>2021</v>
      </c>
      <c r="E129" s="274">
        <v>2022</v>
      </c>
      <c r="F129" s="272">
        <v>2023</v>
      </c>
      <c r="G129" s="272">
        <v>2024</v>
      </c>
      <c r="H129" s="272">
        <v>2025</v>
      </c>
      <c r="I129" s="272">
        <v>2026</v>
      </c>
      <c r="J129" s="272">
        <v>2027</v>
      </c>
      <c r="K129" s="272">
        <v>2028</v>
      </c>
      <c r="L129" s="272">
        <v>2029</v>
      </c>
      <c r="M129" s="272">
        <v>2030</v>
      </c>
      <c r="N129" s="272">
        <v>2031</v>
      </c>
      <c r="O129" s="272">
        <v>2032</v>
      </c>
      <c r="P129" s="272">
        <v>2033</v>
      </c>
      <c r="Q129" s="272">
        <v>2034</v>
      </c>
      <c r="R129" s="272">
        <v>2035</v>
      </c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</row>
    <row r="130" spans="1:33">
      <c r="A130" s="1"/>
      <c r="B130" t="s">
        <v>776</v>
      </c>
      <c r="C130" s="291">
        <v>0.27172825699999997</v>
      </c>
      <c r="D130" s="292">
        <v>0.236752088</v>
      </c>
      <c r="E130" s="293">
        <v>0.14963175213171201</v>
      </c>
      <c r="F130" s="292">
        <v>0.13399523403394811</v>
      </c>
      <c r="G130" s="291">
        <v>0.11850834768831592</v>
      </c>
      <c r="H130" s="291">
        <v>0.10317109309481542</v>
      </c>
      <c r="I130" s="291">
        <v>8.7983470253446661E-2</v>
      </c>
      <c r="J130" s="291">
        <v>7.2945479164209598E-2</v>
      </c>
      <c r="K130" s="291">
        <v>5.8057119827104257E-2</v>
      </c>
      <c r="L130" s="291">
        <v>4.3318392242130632E-2</v>
      </c>
      <c r="M130" s="291">
        <v>2.8729296409288712E-2</v>
      </c>
      <c r="N130" s="291">
        <v>1.4289832328578509E-2</v>
      </c>
      <c r="O130" s="291">
        <v>1.5781838561004947E-17</v>
      </c>
      <c r="P130" s="291">
        <v>0</v>
      </c>
      <c r="Q130" s="291">
        <v>0</v>
      </c>
      <c r="R130" s="291">
        <v>0</v>
      </c>
      <c r="S130" s="608"/>
      <c r="T130" s="608"/>
      <c r="U130" s="608"/>
      <c r="V130" s="608"/>
      <c r="W130" s="608"/>
      <c r="X130" s="608"/>
      <c r="Y130" s="608"/>
      <c r="Z130" s="608"/>
      <c r="AA130" s="608"/>
      <c r="AB130" s="608"/>
      <c r="AC130" s="608"/>
      <c r="AD130" s="608"/>
      <c r="AE130" s="608"/>
      <c r="AF130" s="608"/>
      <c r="AG130" s="608"/>
    </row>
    <row r="131" spans="1:33">
      <c r="A131" s="1"/>
      <c r="B131" t="s">
        <v>777</v>
      </c>
      <c r="C131" s="291">
        <v>0.525838904</v>
      </c>
      <c r="D131" s="292">
        <v>0.452520323</v>
      </c>
      <c r="E131" s="293">
        <v>0.49332790489006961</v>
      </c>
      <c r="F131" s="292">
        <v>0.45813718100791129</v>
      </c>
      <c r="G131" s="291">
        <v>0.42327534239567971</v>
      </c>
      <c r="H131" s="291">
        <v>0.38874238905337483</v>
      </c>
      <c r="I131" s="291">
        <v>0.35453832098099675</v>
      </c>
      <c r="J131" s="291">
        <v>0.32066313817854525</v>
      </c>
      <c r="K131" s="291">
        <v>0.28711684064602055</v>
      </c>
      <c r="L131" s="291">
        <v>0.2538994283834225</v>
      </c>
      <c r="M131" s="291">
        <v>0.22101090139075116</v>
      </c>
      <c r="N131" s="291">
        <v>0.1884512596680066</v>
      </c>
      <c r="O131" s="291">
        <v>0.15622050321518871</v>
      </c>
      <c r="P131" s="291">
        <v>0.12431863203229757</v>
      </c>
      <c r="Q131" s="291">
        <v>9.2745646119333128E-2</v>
      </c>
      <c r="R131" s="291">
        <v>6.1501545476295383E-2</v>
      </c>
      <c r="S131" s="608"/>
      <c r="T131" s="608"/>
      <c r="U131" s="608"/>
      <c r="V131" s="608"/>
      <c r="W131" s="608"/>
      <c r="X131" s="608"/>
      <c r="Y131" s="608"/>
      <c r="Z131" s="608"/>
      <c r="AA131" s="608"/>
      <c r="AB131" s="608"/>
      <c r="AC131" s="608"/>
      <c r="AD131" s="608"/>
      <c r="AE131" s="608"/>
      <c r="AF131" s="608"/>
      <c r="AG131" s="608"/>
    </row>
    <row r="132" spans="1:33">
      <c r="A132" s="1"/>
      <c r="B132" t="s">
        <v>339</v>
      </c>
      <c r="C132" s="291">
        <v>1.607491376</v>
      </c>
      <c r="D132" s="292">
        <v>1.515886904</v>
      </c>
      <c r="E132" s="293">
        <v>1.5144950863049698</v>
      </c>
      <c r="F132" s="292">
        <v>1.4064611034818819</v>
      </c>
      <c r="G132" s="291">
        <v>1.2994367840496643</v>
      </c>
      <c r="H132" s="291">
        <v>1.1934221280083164</v>
      </c>
      <c r="I132" s="291">
        <v>1.0884171353578382</v>
      </c>
      <c r="J132" s="291">
        <v>0.98442180609823049</v>
      </c>
      <c r="K132" s="291">
        <v>0.88143614022949257</v>
      </c>
      <c r="L132" s="291">
        <v>0.77946013775162448</v>
      </c>
      <c r="M132" s="291">
        <v>0.67849379866462656</v>
      </c>
      <c r="N132" s="291">
        <v>0.57853712296849846</v>
      </c>
      <c r="O132" s="291">
        <v>0.47959011066324053</v>
      </c>
      <c r="P132" s="291">
        <v>0.38165276174885254</v>
      </c>
      <c r="Q132" s="291">
        <v>0.28472507622533444</v>
      </c>
      <c r="R132" s="291">
        <v>0.18880705409268636</v>
      </c>
      <c r="S132" s="608"/>
      <c r="T132" s="608"/>
      <c r="U132" s="608"/>
      <c r="V132" s="608"/>
      <c r="W132" s="608"/>
      <c r="X132" s="608"/>
      <c r="Y132" s="608"/>
      <c r="Z132" s="608"/>
      <c r="AA132" s="608"/>
      <c r="AB132" s="608"/>
      <c r="AC132" s="608"/>
      <c r="AD132" s="608"/>
      <c r="AE132" s="608"/>
      <c r="AF132" s="608"/>
      <c r="AG132" s="608"/>
    </row>
    <row r="133" spans="1:33">
      <c r="A133" s="1"/>
      <c r="B133" t="s">
        <v>811</v>
      </c>
      <c r="C133" s="291">
        <v>0.56435099599999916</v>
      </c>
      <c r="D133" s="292">
        <v>1.3677497439999979</v>
      </c>
      <c r="E133" s="293">
        <v>1.315967829983159</v>
      </c>
      <c r="F133" s="292">
        <v>1.2439185912915809</v>
      </c>
      <c r="G133" s="291">
        <v>1.1725273365149946</v>
      </c>
      <c r="H133" s="291">
        <v>1.1017940656533998</v>
      </c>
      <c r="I133" s="291">
        <v>1.0317187787067967</v>
      </c>
      <c r="J133" s="291">
        <v>0.96230147567518498</v>
      </c>
      <c r="K133" s="291">
        <v>0.89354215655856495</v>
      </c>
      <c r="L133" s="291">
        <v>0.82544082135693642</v>
      </c>
      <c r="M133" s="291">
        <v>0.75799747007029949</v>
      </c>
      <c r="N133" s="291">
        <v>0.69121210269865418</v>
      </c>
      <c r="O133" s="291">
        <v>0.62508471924200049</v>
      </c>
      <c r="P133" s="291">
        <v>0.5596153197003384</v>
      </c>
      <c r="Q133" s="291">
        <v>0.49480390407366781</v>
      </c>
      <c r="R133" s="291">
        <v>0.43065047236198883</v>
      </c>
      <c r="S133" s="608"/>
      <c r="T133" s="608"/>
      <c r="U133" s="608"/>
      <c r="V133" s="608"/>
      <c r="W133" s="608"/>
      <c r="X133" s="608"/>
      <c r="Y133" s="608"/>
      <c r="Z133" s="608"/>
      <c r="AA133" s="608"/>
      <c r="AB133" s="608"/>
      <c r="AC133" s="608"/>
      <c r="AD133" s="608"/>
      <c r="AE133" s="608"/>
      <c r="AF133" s="608"/>
      <c r="AG133" s="608"/>
    </row>
    <row r="134" spans="1:33">
      <c r="A134" s="1"/>
      <c r="B134" t="s">
        <v>812</v>
      </c>
      <c r="C134" s="291">
        <v>17.619509546658808</v>
      </c>
      <c r="D134" s="292">
        <v>19.072747624783041</v>
      </c>
      <c r="E134" s="293">
        <v>16.989261473324802</v>
      </c>
      <c r="F134" s="292">
        <v>18.088994054472558</v>
      </c>
      <c r="G134" s="291">
        <v>18.088994054472558</v>
      </c>
      <c r="H134" s="291">
        <v>18.088994054472558</v>
      </c>
      <c r="I134" s="291">
        <v>7.6878224731508382</v>
      </c>
      <c r="J134" s="291">
        <v>7.6878224731508382</v>
      </c>
      <c r="K134" s="291">
        <v>7.6878224731508382</v>
      </c>
      <c r="L134" s="291">
        <v>7.6878224731508382</v>
      </c>
      <c r="M134" s="291">
        <v>7.6878224731508382</v>
      </c>
      <c r="N134" s="291">
        <v>7.6878224731508382</v>
      </c>
      <c r="O134" s="291">
        <v>7.6878224731508382</v>
      </c>
      <c r="P134" s="291">
        <v>7.6878224731508382</v>
      </c>
      <c r="Q134" s="291">
        <v>7.6878224731508382</v>
      </c>
      <c r="R134" s="291">
        <v>7.6878224731508382</v>
      </c>
      <c r="S134" s="608"/>
      <c r="T134" s="608"/>
      <c r="U134" s="608"/>
      <c r="V134" s="608"/>
      <c r="W134" s="608"/>
      <c r="X134" s="608"/>
      <c r="Y134" s="608"/>
      <c r="Z134" s="608"/>
      <c r="AA134" s="608"/>
      <c r="AB134" s="608"/>
      <c r="AC134" s="608"/>
      <c r="AD134" s="608"/>
      <c r="AE134" s="608"/>
      <c r="AF134" s="608"/>
      <c r="AG134" s="608"/>
    </row>
    <row r="135" spans="1:33">
      <c r="A135" s="1"/>
      <c r="B135" t="s">
        <v>813</v>
      </c>
      <c r="C135" s="291">
        <v>1.5280169868487752</v>
      </c>
      <c r="D135" s="292">
        <v>1.272976270075451</v>
      </c>
      <c r="E135" s="293">
        <v>1.05818559822234</v>
      </c>
      <c r="F135" s="292">
        <v>1.05818559822234</v>
      </c>
      <c r="G135" s="291">
        <v>1.05818559822234</v>
      </c>
      <c r="H135" s="291">
        <v>1.05818559822234</v>
      </c>
      <c r="I135" s="291">
        <v>1.05818559822234</v>
      </c>
      <c r="J135" s="291">
        <v>1.05818559822234</v>
      </c>
      <c r="K135" s="291">
        <v>1.05818559822234</v>
      </c>
      <c r="L135" s="291">
        <v>1.05818559822234</v>
      </c>
      <c r="M135" s="291">
        <v>1.05818559822234</v>
      </c>
      <c r="N135" s="291">
        <v>1.05818559822234</v>
      </c>
      <c r="O135" s="291">
        <v>1.05818559822234</v>
      </c>
      <c r="P135" s="291">
        <v>1.05818559822234</v>
      </c>
      <c r="Q135" s="291">
        <v>1.05818559822234</v>
      </c>
      <c r="R135" s="291">
        <v>1.05818559822234</v>
      </c>
      <c r="S135" s="608"/>
      <c r="T135" s="608"/>
      <c r="U135" s="608"/>
      <c r="V135" s="608"/>
      <c r="W135" s="608"/>
      <c r="X135" s="608"/>
      <c r="Y135" s="608"/>
      <c r="Z135" s="608"/>
      <c r="AA135" s="608"/>
      <c r="AB135" s="608"/>
      <c r="AC135" s="608"/>
      <c r="AD135" s="608"/>
      <c r="AE135" s="608"/>
      <c r="AF135" s="608"/>
      <c r="AG135" s="608"/>
    </row>
    <row r="136" spans="1:33">
      <c r="A136" s="1"/>
      <c r="B136" t="s">
        <v>814</v>
      </c>
      <c r="C136" s="291">
        <v>16.439688078466386</v>
      </c>
      <c r="D136" s="292">
        <v>15.603843022437731</v>
      </c>
      <c r="E136" s="293">
        <v>14.736301873249232</v>
      </c>
      <c r="F136" s="292">
        <v>14.767506241692319</v>
      </c>
      <c r="G136" s="291">
        <v>14.909627808666704</v>
      </c>
      <c r="H136" s="291">
        <v>14.341490734989074</v>
      </c>
      <c r="I136" s="291">
        <v>13.848304682886429</v>
      </c>
      <c r="J136" s="291">
        <v>13.268612965423372</v>
      </c>
      <c r="K136" s="291">
        <v>12.576501681868487</v>
      </c>
      <c r="L136" s="291">
        <v>11.717889158844715</v>
      </c>
      <c r="M136" s="291">
        <v>10.740023940523365</v>
      </c>
      <c r="N136" s="291">
        <v>9.6210274773183055</v>
      </c>
      <c r="O136" s="291">
        <v>8.3613945782400112</v>
      </c>
      <c r="P136" s="291">
        <v>6.9622474272515946</v>
      </c>
      <c r="Q136" s="291">
        <v>5.4247684576876249</v>
      </c>
      <c r="R136" s="291">
        <v>3.7507626245102257</v>
      </c>
      <c r="S136" s="608"/>
      <c r="T136" s="608"/>
      <c r="U136" s="608"/>
      <c r="V136" s="608"/>
      <c r="W136" s="608"/>
      <c r="X136" s="608"/>
      <c r="Y136" s="608"/>
      <c r="Z136" s="608"/>
      <c r="AA136" s="608"/>
      <c r="AB136" s="608"/>
      <c r="AC136" s="608"/>
      <c r="AD136" s="608"/>
      <c r="AE136" s="608"/>
      <c r="AF136" s="608"/>
      <c r="AG136" s="608"/>
    </row>
    <row r="137" spans="1:33">
      <c r="A137" s="1"/>
      <c r="B137" t="s">
        <v>796</v>
      </c>
      <c r="C137" s="291">
        <v>0.2245286474972597</v>
      </c>
      <c r="D137" s="292">
        <v>0.2712831994399082</v>
      </c>
      <c r="E137" s="293">
        <v>0.19638411798767319</v>
      </c>
      <c r="F137" s="292">
        <v>0.19576223494737888</v>
      </c>
      <c r="G137" s="291">
        <v>0.19331452339638286</v>
      </c>
      <c r="H137" s="291">
        <v>0.18905508416348155</v>
      </c>
      <c r="I137" s="291">
        <v>0.18299644873982041</v>
      </c>
      <c r="J137" s="291">
        <v>0.17514972621335689</v>
      </c>
      <c r="K137" s="291">
        <v>0.16552473701249196</v>
      </c>
      <c r="L137" s="291">
        <v>0.15413013468678202</v>
      </c>
      <c r="M137" s="291">
        <v>0.14097351682824072</v>
      </c>
      <c r="N137" s="291">
        <v>0.12606152612625995</v>
      </c>
      <c r="O137" s="291">
        <v>0.10939994245092589</v>
      </c>
      <c r="P137" s="291">
        <v>9.099376677199067E-2</v>
      </c>
      <c r="Q137" s="291">
        <v>7.0847297642699592E-2</v>
      </c>
      <c r="R137" s="291">
        <v>4.8964200907945975E-2</v>
      </c>
      <c r="S137" s="608"/>
      <c r="T137" s="608"/>
      <c r="U137" s="608"/>
      <c r="V137" s="608"/>
      <c r="W137" s="608"/>
      <c r="X137" s="608"/>
      <c r="Y137" s="608"/>
      <c r="Z137" s="608"/>
      <c r="AA137" s="608"/>
      <c r="AB137" s="608"/>
      <c r="AC137" s="608"/>
      <c r="AD137" s="608"/>
      <c r="AE137" s="608"/>
      <c r="AF137" s="608"/>
      <c r="AG137" s="608"/>
    </row>
    <row r="138" spans="1:33">
      <c r="A138" s="1"/>
      <c r="B138" t="s">
        <v>768</v>
      </c>
      <c r="C138" s="291">
        <v>17.162189184535499</v>
      </c>
      <c r="D138" s="292">
        <v>25.2445617527259</v>
      </c>
      <c r="E138" s="293">
        <v>7.7084036131411002</v>
      </c>
      <c r="F138" s="292">
        <v>11.290246828875516</v>
      </c>
      <c r="G138" s="291">
        <v>4.5919248524561365</v>
      </c>
      <c r="H138" s="291">
        <v>5.3538734417812961</v>
      </c>
      <c r="I138" s="291">
        <v>5.9824784145489849</v>
      </c>
      <c r="J138" s="291">
        <v>6.3953578583019128</v>
      </c>
      <c r="K138" s="291">
        <v>6.844104706830147</v>
      </c>
      <c r="L138" s="291">
        <v>1.4380080608862267</v>
      </c>
      <c r="M138" s="291">
        <v>1.7000179894730394</v>
      </c>
      <c r="N138" s="291">
        <v>2.1573278073771753</v>
      </c>
      <c r="O138" s="291">
        <v>2.4690100025537829</v>
      </c>
      <c r="P138" s="291">
        <v>2.5510471296154194</v>
      </c>
      <c r="Q138" s="291">
        <v>2.6215483815151277</v>
      </c>
      <c r="R138" s="291">
        <v>2.8527274127508475</v>
      </c>
      <c r="S138" s="608"/>
      <c r="T138" s="608"/>
      <c r="U138" s="608"/>
      <c r="V138" s="608"/>
      <c r="W138" s="608"/>
      <c r="X138" s="608"/>
      <c r="Y138" s="608"/>
      <c r="Z138" s="608"/>
      <c r="AA138" s="608"/>
      <c r="AB138" s="608"/>
      <c r="AC138" s="608"/>
      <c r="AD138" s="608"/>
      <c r="AE138" s="608"/>
      <c r="AF138" s="608"/>
      <c r="AG138" s="608"/>
    </row>
    <row r="139" spans="1:33">
      <c r="A139" s="1" t="s">
        <v>150</v>
      </c>
      <c r="C139" s="291">
        <v>55.943341977006725</v>
      </c>
      <c r="D139" s="292">
        <v>65.038320928462028</v>
      </c>
      <c r="E139" s="293">
        <v>44.161959249235068</v>
      </c>
      <c r="F139" s="292">
        <v>48.64320706802544</v>
      </c>
      <c r="G139" s="291">
        <v>41.855794647862773</v>
      </c>
      <c r="H139" s="291">
        <v>41.818728589438663</v>
      </c>
      <c r="I139" s="291">
        <v>31.322445322847493</v>
      </c>
      <c r="J139" s="291">
        <v>30.92546052042799</v>
      </c>
      <c r="K139" s="291">
        <v>30.452291454345492</v>
      </c>
      <c r="L139" s="291">
        <v>23.958154205525013</v>
      </c>
      <c r="M139" s="291">
        <v>23.013254984732789</v>
      </c>
      <c r="N139" s="291">
        <v>22.12291519985866</v>
      </c>
      <c r="O139" s="291">
        <v>20.946707927738331</v>
      </c>
      <c r="P139" s="291">
        <v>19.41588310849367</v>
      </c>
      <c r="Q139" s="291">
        <v>17.735446834636967</v>
      </c>
      <c r="R139" s="291">
        <v>16.079421381473171</v>
      </c>
      <c r="S139" s="608"/>
      <c r="T139" s="608"/>
      <c r="U139" s="608"/>
      <c r="V139" s="608"/>
      <c r="W139" s="608"/>
      <c r="X139" s="608"/>
      <c r="Y139" s="608"/>
      <c r="Z139" s="608"/>
      <c r="AA139" s="608"/>
      <c r="AB139" s="608"/>
      <c r="AC139" s="608"/>
      <c r="AD139" s="608"/>
      <c r="AE139" s="608"/>
      <c r="AF139" s="608"/>
      <c r="AG139" s="608"/>
    </row>
    <row r="140" spans="1:33">
      <c r="A140" s="1"/>
      <c r="B140" s="284" t="s">
        <v>783</v>
      </c>
      <c r="C140" s="285"/>
      <c r="D140" s="285"/>
      <c r="E140" s="286"/>
      <c r="F140" s="285"/>
      <c r="G140" s="285"/>
      <c r="H140" s="287"/>
      <c r="I140" s="287"/>
      <c r="J140" s="287"/>
      <c r="K140" s="287"/>
      <c r="L140" s="287"/>
      <c r="M140" s="287"/>
      <c r="N140" s="287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</row>
    <row r="141" spans="1:33">
      <c r="A141" s="1"/>
    </row>
    <row r="142" spans="1:33">
      <c r="A142" s="262" t="s">
        <v>815</v>
      </c>
      <c r="B142" s="262"/>
      <c r="C142" s="272"/>
      <c r="D142" s="273"/>
      <c r="E142" s="274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</row>
    <row r="143" spans="1:33">
      <c r="A143" s="1" t="s">
        <v>816</v>
      </c>
      <c r="B143" t="s">
        <v>817</v>
      </c>
      <c r="C143" s="291">
        <v>84.22040442570119</v>
      </c>
      <c r="D143" s="292">
        <v>85.592947290352811</v>
      </c>
      <c r="E143" s="293">
        <v>82.421906749091093</v>
      </c>
      <c r="F143" s="292">
        <v>90.647792694323044</v>
      </c>
      <c r="G143" s="291">
        <v>89.300615414333109</v>
      </c>
      <c r="H143" s="291">
        <v>88.687350652472489</v>
      </c>
      <c r="I143" s="291">
        <v>86.758613730796881</v>
      </c>
      <c r="J143" s="291">
        <v>85.027246598129352</v>
      </c>
      <c r="K143" s="291">
        <v>83.039518020823309</v>
      </c>
      <c r="L143" s="291">
        <v>80.932408441482835</v>
      </c>
      <c r="M143" s="291">
        <v>78.805668642121148</v>
      </c>
      <c r="N143" s="291">
        <v>76.533041796914944</v>
      </c>
      <c r="O143" s="291">
        <v>74.208368097138617</v>
      </c>
      <c r="P143" s="291">
        <v>71.697141436475576</v>
      </c>
      <c r="Q143" s="291">
        <v>68.982202624624037</v>
      </c>
      <c r="R143" s="291">
        <v>66.347839063075654</v>
      </c>
      <c r="S143" s="608"/>
      <c r="T143" s="608"/>
      <c r="U143" s="608"/>
      <c r="V143" s="608"/>
      <c r="W143" s="608"/>
      <c r="X143" s="608"/>
      <c r="Y143" s="608"/>
      <c r="Z143" s="608"/>
      <c r="AA143" s="608"/>
      <c r="AB143" s="608"/>
      <c r="AC143" s="608"/>
      <c r="AD143" s="608"/>
      <c r="AE143" s="608"/>
      <c r="AF143" s="608"/>
      <c r="AG143" s="608"/>
    </row>
    <row r="144" spans="1:33">
      <c r="A144" s="1"/>
      <c r="B144" t="s">
        <v>818</v>
      </c>
      <c r="C144" s="291">
        <v>92.509141812342705</v>
      </c>
      <c r="D144" s="292">
        <v>100.001662440662</v>
      </c>
      <c r="E144" s="293">
        <v>101.571869082037</v>
      </c>
      <c r="F144" s="292">
        <v>99.595803548401321</v>
      </c>
      <c r="G144" s="291">
        <v>100.50419318819577</v>
      </c>
      <c r="H144" s="291">
        <v>100.90064461609684</v>
      </c>
      <c r="I144" s="291">
        <v>101.94561879868255</v>
      </c>
      <c r="J144" s="291">
        <v>101.88599796791912</v>
      </c>
      <c r="K144" s="291">
        <v>101.25324947145045</v>
      </c>
      <c r="L144" s="291">
        <v>101.01874078810658</v>
      </c>
      <c r="M144" s="291">
        <v>100.4389767273916</v>
      </c>
      <c r="N144" s="291">
        <v>99.800406884383676</v>
      </c>
      <c r="O144" s="291">
        <v>98.965376580837813</v>
      </c>
      <c r="P144" s="291">
        <v>97.905700749983907</v>
      </c>
      <c r="Q144" s="291">
        <v>96.377762498117761</v>
      </c>
      <c r="R144" s="291">
        <v>94.830378475512859</v>
      </c>
      <c r="S144" s="608"/>
      <c r="T144" s="608"/>
      <c r="U144" s="608"/>
      <c r="V144" s="608"/>
      <c r="W144" s="608"/>
      <c r="X144" s="608"/>
      <c r="Y144" s="608"/>
      <c r="Z144" s="608"/>
      <c r="AA144" s="608"/>
      <c r="AB144" s="608"/>
      <c r="AC144" s="608"/>
      <c r="AD144" s="608"/>
      <c r="AE144" s="608"/>
      <c r="AF144" s="608"/>
      <c r="AG144" s="608"/>
    </row>
    <row r="145" spans="1:33">
      <c r="A145" s="1"/>
      <c r="B145" t="s">
        <v>819</v>
      </c>
      <c r="C145" s="291">
        <v>3.7152286561271199</v>
      </c>
      <c r="D145" s="292">
        <v>2.7530408088979601</v>
      </c>
      <c r="E145" s="293">
        <v>0.71811877251351097</v>
      </c>
      <c r="F145" s="292">
        <v>0.59186368953462098</v>
      </c>
      <c r="G145" s="291">
        <v>0.59321845727776534</v>
      </c>
      <c r="H145" s="291">
        <v>0.58853482974642601</v>
      </c>
      <c r="I145" s="291">
        <v>0.5847951973997958</v>
      </c>
      <c r="J145" s="291">
        <v>0.58104073672041023</v>
      </c>
      <c r="K145" s="291">
        <v>0.5772719787952626</v>
      </c>
      <c r="L145" s="291">
        <v>0.57348945465385237</v>
      </c>
      <c r="M145" s="291">
        <v>0.56969369514409751</v>
      </c>
      <c r="N145" s="291">
        <v>0.56802810525619007</v>
      </c>
      <c r="O145" s="291">
        <v>0.56661992148991547</v>
      </c>
      <c r="P145" s="291">
        <v>0.5654671391642232</v>
      </c>
      <c r="Q145" s="291">
        <v>0.56456810010165026</v>
      </c>
      <c r="R145" s="291">
        <v>0.56392148866646252</v>
      </c>
      <c r="S145" s="608"/>
      <c r="T145" s="608"/>
      <c r="U145" s="608"/>
      <c r="V145" s="608"/>
      <c r="W145" s="608"/>
      <c r="X145" s="608"/>
      <c r="Y145" s="608"/>
      <c r="Z145" s="608"/>
      <c r="AA145" s="608"/>
      <c r="AB145" s="608"/>
      <c r="AC145" s="608"/>
      <c r="AD145" s="608"/>
      <c r="AE145" s="608"/>
      <c r="AF145" s="608"/>
      <c r="AG145" s="608"/>
    </row>
    <row r="146" spans="1:33">
      <c r="A146" s="1"/>
      <c r="B146" t="s">
        <v>820</v>
      </c>
      <c r="C146" s="291">
        <v>10.257307381692728</v>
      </c>
      <c r="D146" s="292">
        <v>11.938946340158056</v>
      </c>
      <c r="E146" s="293">
        <v>14.89330133334386</v>
      </c>
      <c r="F146" s="292">
        <v>18.371048077206286</v>
      </c>
      <c r="G146" s="291">
        <v>18.808008151079743</v>
      </c>
      <c r="H146" s="291">
        <v>18.909855636424087</v>
      </c>
      <c r="I146" s="291">
        <v>18.975643991571964</v>
      </c>
      <c r="J146" s="291">
        <v>19.195601339748439</v>
      </c>
      <c r="K146" s="291">
        <v>19.418911484794851</v>
      </c>
      <c r="L146" s="291">
        <v>19.611598176141054</v>
      </c>
      <c r="M146" s="291">
        <v>19.808934346200719</v>
      </c>
      <c r="N146" s="291">
        <v>19.970998112055121</v>
      </c>
      <c r="O146" s="291">
        <v>20.138844118428484</v>
      </c>
      <c r="P146" s="291">
        <v>20.277483505319889</v>
      </c>
      <c r="Q146" s="291">
        <v>20.404878119056431</v>
      </c>
      <c r="R146" s="291">
        <v>20.521415398842436</v>
      </c>
      <c r="S146" s="608"/>
      <c r="T146" s="608"/>
      <c r="U146" s="608"/>
      <c r="V146" s="608"/>
      <c r="W146" s="608"/>
      <c r="X146" s="608"/>
      <c r="Y146" s="608"/>
      <c r="Z146" s="608"/>
      <c r="AA146" s="608"/>
      <c r="AB146" s="608"/>
      <c r="AC146" s="608"/>
      <c r="AD146" s="608"/>
      <c r="AE146" s="608"/>
      <c r="AF146" s="608"/>
      <c r="AG146" s="608"/>
    </row>
    <row r="147" spans="1:33">
      <c r="A147" s="1" t="s">
        <v>821</v>
      </c>
      <c r="B147" t="s">
        <v>822</v>
      </c>
      <c r="C147" s="291">
        <v>7.7926700690781097</v>
      </c>
      <c r="D147" s="292">
        <v>4.7364548550379304</v>
      </c>
      <c r="E147" s="293">
        <v>5.9267000883423</v>
      </c>
      <c r="F147" s="292">
        <v>7.5534370621800999</v>
      </c>
      <c r="G147" s="291">
        <v>7.6608381565234467</v>
      </c>
      <c r="H147" s="291">
        <v>7.6535082753243922</v>
      </c>
      <c r="I147" s="291">
        <v>7.6076618713660995</v>
      </c>
      <c r="J147" s="291">
        <v>7.5619689948871081</v>
      </c>
      <c r="K147" s="291">
        <v>7.5164301809588299</v>
      </c>
      <c r="L147" s="291">
        <v>7.4710459540900658</v>
      </c>
      <c r="M147" s="291">
        <v>7.4258168282568651</v>
      </c>
      <c r="N147" s="291">
        <v>7.3807433069330735</v>
      </c>
      <c r="O147" s="291">
        <v>7.3101807402784669</v>
      </c>
      <c r="P147" s="291">
        <v>7.2147764428682359</v>
      </c>
      <c r="Q147" s="291">
        <v>7.0954339318786257</v>
      </c>
      <c r="R147" s="291">
        <v>6.953298756997885</v>
      </c>
      <c r="S147" s="608"/>
      <c r="T147" s="608"/>
      <c r="U147" s="608"/>
      <c r="V147" s="608"/>
      <c r="W147" s="608"/>
      <c r="X147" s="608"/>
      <c r="Y147" s="608"/>
      <c r="Z147" s="608"/>
      <c r="AA147" s="608"/>
      <c r="AB147" s="608"/>
      <c r="AC147" s="608"/>
      <c r="AD147" s="608"/>
      <c r="AE147" s="608"/>
      <c r="AF147" s="608"/>
      <c r="AG147" s="608"/>
    </row>
    <row r="148" spans="1:33">
      <c r="A148" s="1"/>
      <c r="B148" t="s">
        <v>823</v>
      </c>
      <c r="C148" s="291">
        <v>23.003521898656199</v>
      </c>
      <c r="D148" s="292">
        <v>13.6543916042303</v>
      </c>
      <c r="E148" s="293">
        <v>21.5804587792353</v>
      </c>
      <c r="F148" s="292">
        <v>38.84736897143204</v>
      </c>
      <c r="G148" s="291">
        <v>43.408813217803562</v>
      </c>
      <c r="H148" s="291">
        <v>44.602771176238029</v>
      </c>
      <c r="I148" s="291">
        <v>45.531291814034439</v>
      </c>
      <c r="J148" s="291">
        <v>45.989828147018656</v>
      </c>
      <c r="K148" s="291">
        <v>46.442045456415912</v>
      </c>
      <c r="L148" s="291">
        <v>47.3499969279098</v>
      </c>
      <c r="M148" s="291">
        <v>47.559716551251078</v>
      </c>
      <c r="N148" s="291">
        <v>48.368214036276328</v>
      </c>
      <c r="O148" s="291">
        <v>48.929020365700396</v>
      </c>
      <c r="P148" s="291">
        <v>49.408507241495343</v>
      </c>
      <c r="Q148" s="291">
        <v>50.279132676789601</v>
      </c>
      <c r="R148" s="291">
        <v>50.668272791609461</v>
      </c>
      <c r="S148" s="608"/>
      <c r="T148" s="608"/>
      <c r="U148" s="608"/>
      <c r="V148" s="608"/>
      <c r="W148" s="608"/>
      <c r="X148" s="608"/>
      <c r="Y148" s="608"/>
      <c r="Z148" s="608"/>
      <c r="AA148" s="608"/>
      <c r="AB148" s="608"/>
      <c r="AC148" s="608"/>
      <c r="AD148" s="608"/>
      <c r="AE148" s="608"/>
      <c r="AF148" s="608"/>
      <c r="AG148" s="608"/>
    </row>
    <row r="149" spans="1:33">
      <c r="A149" s="1" t="s">
        <v>824</v>
      </c>
      <c r="B149" t="s">
        <v>825</v>
      </c>
      <c r="C149" s="291">
        <v>16.493782034860434</v>
      </c>
      <c r="D149" s="292">
        <v>16.635969390678657</v>
      </c>
      <c r="E149" s="293">
        <v>18.03109912242849</v>
      </c>
      <c r="F149" s="292">
        <v>18.034517578840578</v>
      </c>
      <c r="G149" s="291">
        <v>18.031153555317708</v>
      </c>
      <c r="H149" s="291">
        <v>17.981849750812614</v>
      </c>
      <c r="I149" s="291">
        <v>17.957669213102371</v>
      </c>
      <c r="J149" s="291">
        <v>17.929009834277533</v>
      </c>
      <c r="K149" s="291">
        <v>17.89594415420418</v>
      </c>
      <c r="L149" s="291">
        <v>17.858491915844841</v>
      </c>
      <c r="M149" s="291">
        <v>17.81684191648927</v>
      </c>
      <c r="N149" s="291">
        <v>17.770945194346659</v>
      </c>
      <c r="O149" s="291">
        <v>17.720921045043067</v>
      </c>
      <c r="P149" s="291">
        <v>17.661243578047067</v>
      </c>
      <c r="Q149" s="291">
        <v>17.604032017850113</v>
      </c>
      <c r="R149" s="291">
        <v>17.542683295016019</v>
      </c>
      <c r="S149" s="608"/>
      <c r="T149" s="608"/>
      <c r="U149" s="608"/>
      <c r="V149" s="608"/>
      <c r="W149" s="608"/>
      <c r="X149" s="608"/>
      <c r="Y149" s="608"/>
      <c r="Z149" s="608"/>
      <c r="AA149" s="608"/>
      <c r="AB149" s="608"/>
      <c r="AC149" s="608"/>
      <c r="AD149" s="608"/>
      <c r="AE149" s="608"/>
      <c r="AF149" s="608"/>
      <c r="AG149" s="608"/>
    </row>
    <row r="150" spans="1:33">
      <c r="A150" s="1"/>
      <c r="B150" t="s">
        <v>826</v>
      </c>
      <c r="C150" s="291">
        <v>37.797683573663839</v>
      </c>
      <c r="D150" s="292">
        <v>38.382858714467815</v>
      </c>
      <c r="E150" s="293">
        <v>39.200363073747951</v>
      </c>
      <c r="F150" s="292">
        <v>39.575387392956429</v>
      </c>
      <c r="G150" s="291">
        <v>39.903268127360199</v>
      </c>
      <c r="H150" s="291">
        <v>40.199661663637649</v>
      </c>
      <c r="I150" s="291">
        <v>40.524393950377764</v>
      </c>
      <c r="J150" s="291">
        <v>40.836875708571554</v>
      </c>
      <c r="K150" s="291">
        <v>41.132419801593308</v>
      </c>
      <c r="L150" s="291">
        <v>41.391786684356134</v>
      </c>
      <c r="M150" s="291">
        <v>41.61920081535262</v>
      </c>
      <c r="N150" s="291">
        <v>41.833310290998398</v>
      </c>
      <c r="O150" s="291">
        <v>42.037759317255635</v>
      </c>
      <c r="P150" s="291">
        <v>42.168410245520967</v>
      </c>
      <c r="Q150" s="291">
        <v>42.355984611987935</v>
      </c>
      <c r="R150" s="291">
        <v>42.52737278442148</v>
      </c>
      <c r="S150" s="608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</row>
    <row r="151" spans="1:33">
      <c r="A151" s="1"/>
      <c r="B151" t="s">
        <v>827</v>
      </c>
      <c r="C151" s="291">
        <v>1.7287167324163291</v>
      </c>
      <c r="D151" s="292">
        <v>1.1220092343976082</v>
      </c>
      <c r="E151" s="293">
        <v>0.25524020361913552</v>
      </c>
      <c r="F151" s="292">
        <v>0.25296836980590909</v>
      </c>
      <c r="G151" s="291">
        <v>0.25061677628428281</v>
      </c>
      <c r="H151" s="291">
        <v>0.24866725995429428</v>
      </c>
      <c r="I151" s="291">
        <v>0.24711670408192357</v>
      </c>
      <c r="J151" s="291">
        <v>0.24551682290661603</v>
      </c>
      <c r="K151" s="291">
        <v>0.2438624544020096</v>
      </c>
      <c r="L151" s="291">
        <v>0.24215522711489731</v>
      </c>
      <c r="M151" s="291">
        <v>0.24040468439813165</v>
      </c>
      <c r="N151" s="291">
        <v>0.23861004313208384</v>
      </c>
      <c r="O151" s="291">
        <v>0.23678748253871035</v>
      </c>
      <c r="P151" s="291">
        <v>0.23455933623120825</v>
      </c>
      <c r="Q151" s="291">
        <v>0.23269755513228285</v>
      </c>
      <c r="R151" s="291">
        <v>0.23076358974211361</v>
      </c>
      <c r="S151" s="608"/>
      <c r="T151" s="608"/>
      <c r="U151" s="608"/>
      <c r="V151" s="608"/>
      <c r="W151" s="608"/>
      <c r="X151" s="608"/>
      <c r="Y151" s="608"/>
      <c r="Z151" s="608"/>
      <c r="AA151" s="608"/>
      <c r="AB151" s="608"/>
      <c r="AC151" s="608"/>
      <c r="AD151" s="608"/>
      <c r="AE151" s="608"/>
      <c r="AF151" s="608"/>
      <c r="AG151" s="608"/>
    </row>
    <row r="152" spans="1:33">
      <c r="A152" s="1" t="s">
        <v>828</v>
      </c>
      <c r="B152" t="s">
        <v>826</v>
      </c>
      <c r="C152" s="291">
        <v>5.56384164973207</v>
      </c>
      <c r="D152" s="292">
        <v>6.0440145501408429</v>
      </c>
      <c r="E152" s="293">
        <v>6.8690250643607973</v>
      </c>
      <c r="F152" s="292">
        <v>6.6263402625905234</v>
      </c>
      <c r="G152" s="291">
        <v>6.3807960999769087</v>
      </c>
      <c r="H152" s="291">
        <v>6.1369892813018581</v>
      </c>
      <c r="I152" s="291">
        <v>5.8985950055813561</v>
      </c>
      <c r="J152" s="291">
        <v>5.6561407802144714</v>
      </c>
      <c r="K152" s="291">
        <v>5.4093623263937118</v>
      </c>
      <c r="L152" s="291">
        <v>5.1577268046853062</v>
      </c>
      <c r="M152" s="291">
        <v>4.9020138946751919</v>
      </c>
      <c r="N152" s="291">
        <v>4.6420156730710342</v>
      </c>
      <c r="O152" s="291">
        <v>4.3777944485802767</v>
      </c>
      <c r="P152" s="291">
        <v>4.1095958174752889</v>
      </c>
      <c r="Q152" s="291">
        <v>3.8374666883588948</v>
      </c>
      <c r="R152" s="291">
        <v>3.5616050197592677</v>
      </c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</row>
    <row r="153" spans="1:33">
      <c r="A153" s="1"/>
      <c r="B153" t="s">
        <v>827</v>
      </c>
      <c r="C153" s="291">
        <v>1.3874107208992161</v>
      </c>
      <c r="D153" s="292">
        <v>0.59622148330043678</v>
      </c>
      <c r="E153" s="293">
        <v>0.21048246822494648</v>
      </c>
      <c r="F153" s="292">
        <v>0.20315341042832163</v>
      </c>
      <c r="G153" s="291">
        <v>0.19566883080653572</v>
      </c>
      <c r="H153" s="291">
        <v>0.18839888518841813</v>
      </c>
      <c r="I153" s="291">
        <v>0.18131255252812453</v>
      </c>
      <c r="J153" s="291">
        <v>0.17406158563147331</v>
      </c>
      <c r="K153" s="291">
        <v>0.16665041347892914</v>
      </c>
      <c r="L153" s="291">
        <v>0.15908151885032804</v>
      </c>
      <c r="M153" s="291">
        <v>0.15135788229378419</v>
      </c>
      <c r="N153" s="291">
        <v>0.14348159040606184</v>
      </c>
      <c r="O153" s="291">
        <v>0.13545416482286715</v>
      </c>
      <c r="P153" s="291">
        <v>0.12728443851199653</v>
      </c>
      <c r="Q153" s="291">
        <v>0.11897321955813502</v>
      </c>
      <c r="R153" s="291">
        <v>0.1105274791466697</v>
      </c>
      <c r="S153" s="608"/>
      <c r="T153" s="608"/>
      <c r="U153" s="608"/>
      <c r="V153" s="608"/>
      <c r="W153" s="608"/>
      <c r="X153" s="608"/>
      <c r="Y153" s="608"/>
      <c r="Z153" s="608"/>
      <c r="AA153" s="608"/>
      <c r="AB153" s="608"/>
      <c r="AC153" s="608"/>
      <c r="AD153" s="608"/>
      <c r="AE153" s="608"/>
      <c r="AF153" s="608"/>
      <c r="AG153" s="608"/>
    </row>
    <row r="154" spans="1:33">
      <c r="A154" s="1" t="s">
        <v>150</v>
      </c>
      <c r="C154" s="164">
        <v>284.46970895516989</v>
      </c>
      <c r="D154" s="164">
        <v>281.45851671232441</v>
      </c>
      <c r="E154" s="294">
        <v>291.67856473694434</v>
      </c>
      <c r="F154" s="164">
        <v>320.29968105769922</v>
      </c>
      <c r="G154" s="164">
        <v>325.03718997495912</v>
      </c>
      <c r="H154" s="164">
        <v>326.09823202719701</v>
      </c>
      <c r="I154" s="164">
        <v>326.21271282952324</v>
      </c>
      <c r="J154" s="164">
        <v>325.08328851602471</v>
      </c>
      <c r="K154" s="164">
        <v>323.09566574331075</v>
      </c>
      <c r="L154" s="164">
        <v>321.76652189323573</v>
      </c>
      <c r="M154" s="164">
        <v>319.3386259835745</v>
      </c>
      <c r="N154" s="164">
        <v>317.24979503377358</v>
      </c>
      <c r="O154" s="164">
        <v>314.62712628211426</v>
      </c>
      <c r="P154" s="164">
        <v>311.37016993109364</v>
      </c>
      <c r="Q154" s="164">
        <v>307.8531320434555</v>
      </c>
      <c r="R154" s="164">
        <v>303.85807814279042</v>
      </c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</row>
    <row r="155" spans="1:33">
      <c r="A155" s="1"/>
      <c r="N155" s="287">
        <v>-2.3958473618928E-2</v>
      </c>
    </row>
    <row r="156" spans="1:33">
      <c r="A156" s="262" t="s">
        <v>829</v>
      </c>
      <c r="B156" s="262"/>
      <c r="C156" s="272"/>
      <c r="D156" s="273"/>
      <c r="E156" s="274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</row>
    <row r="157" spans="1:33">
      <c r="A157" s="1"/>
      <c r="B157" t="s">
        <v>829</v>
      </c>
      <c r="C157" s="6">
        <v>0</v>
      </c>
      <c r="D157" s="6">
        <v>0</v>
      </c>
      <c r="E157" s="295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>
      <c r="A158" s="1"/>
    </row>
    <row r="159" spans="1:33">
      <c r="A159" s="262" t="s">
        <v>830</v>
      </c>
      <c r="B159" s="262"/>
      <c r="C159" s="272"/>
      <c r="D159" s="273"/>
      <c r="E159" s="274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</row>
    <row r="160" spans="1:33">
      <c r="A160" s="1"/>
      <c r="B160" t="s">
        <v>831</v>
      </c>
      <c r="C160" s="275">
        <v>0</v>
      </c>
      <c r="D160" s="277">
        <v>0</v>
      </c>
      <c r="E160" s="276">
        <v>0</v>
      </c>
      <c r="F160" s="277">
        <v>0</v>
      </c>
      <c r="G160" s="275">
        <v>0</v>
      </c>
      <c r="H160" s="275">
        <v>0</v>
      </c>
      <c r="I160" s="275">
        <v>0</v>
      </c>
      <c r="J160" s="275">
        <v>0</v>
      </c>
      <c r="K160" s="275">
        <v>0</v>
      </c>
      <c r="L160" s="275">
        <v>0</v>
      </c>
      <c r="M160" s="275">
        <v>0</v>
      </c>
      <c r="N160" s="275">
        <v>0</v>
      </c>
      <c r="O160" s="275">
        <v>0</v>
      </c>
      <c r="P160" s="275">
        <v>0</v>
      </c>
      <c r="Q160" s="275">
        <v>0</v>
      </c>
      <c r="R160" s="275">
        <v>0</v>
      </c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</row>
    <row r="161" spans="1:33">
      <c r="A161" s="1"/>
      <c r="B161" t="s">
        <v>832</v>
      </c>
      <c r="C161" s="275">
        <v>0</v>
      </c>
      <c r="D161" s="277">
        <v>0</v>
      </c>
      <c r="E161" s="276">
        <v>0</v>
      </c>
      <c r="F161" s="277">
        <v>0.14695627827064442</v>
      </c>
      <c r="G161" s="275">
        <v>0.29243560902098092</v>
      </c>
      <c r="H161" s="275">
        <v>0.43643799225100932</v>
      </c>
      <c r="I161" s="275">
        <v>0.57896342796072986</v>
      </c>
      <c r="J161" s="275">
        <v>0.72001191615014226</v>
      </c>
      <c r="K161" s="275">
        <v>0.85958345681924664</v>
      </c>
      <c r="L161" s="275">
        <v>0.99767804996804332</v>
      </c>
      <c r="M161" s="275">
        <v>1.1342956955965318</v>
      </c>
      <c r="N161" s="275">
        <v>1.2694363937047124</v>
      </c>
      <c r="O161" s="275">
        <v>1.403100144292585</v>
      </c>
      <c r="P161" s="275">
        <v>1.5282168470719262</v>
      </c>
      <c r="Q161" s="275">
        <v>1.6519314182070253</v>
      </c>
      <c r="R161" s="275">
        <v>1.7742438576978823</v>
      </c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</row>
    <row r="162" spans="1:33">
      <c r="A162" s="1"/>
      <c r="B162" t="s">
        <v>833</v>
      </c>
      <c r="C162" s="275">
        <v>0.3820042467121938</v>
      </c>
      <c r="D162" s="277">
        <v>0.42432542335848372</v>
      </c>
      <c r="E162" s="276">
        <v>0.42327423928893604</v>
      </c>
      <c r="F162" s="277">
        <v>0.42327423928893604</v>
      </c>
      <c r="G162" s="275">
        <v>0.42327423928893604</v>
      </c>
      <c r="H162" s="275">
        <v>0.42327423928893604</v>
      </c>
      <c r="I162" s="275">
        <v>0.42327423928893604</v>
      </c>
      <c r="J162" s="275">
        <v>0.42327423928893604</v>
      </c>
      <c r="K162" s="275">
        <v>0.42327423928893604</v>
      </c>
      <c r="L162" s="275">
        <v>0.42327423928893604</v>
      </c>
      <c r="M162" s="275">
        <v>0.42327423928893604</v>
      </c>
      <c r="N162" s="275">
        <v>0.42327423928893604</v>
      </c>
      <c r="O162" s="275">
        <v>0.42327423928893604</v>
      </c>
      <c r="P162" s="275">
        <v>0.42327423928893604</v>
      </c>
      <c r="Q162" s="275">
        <v>0.42327423928893604</v>
      </c>
      <c r="R162" s="275">
        <v>0.42327423928893604</v>
      </c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</row>
    <row r="163" spans="1:33">
      <c r="A163" s="1"/>
      <c r="B163" t="s">
        <v>834</v>
      </c>
      <c r="C163" s="275">
        <v>0</v>
      </c>
      <c r="D163" s="277">
        <v>0</v>
      </c>
      <c r="E163" s="276">
        <v>0</v>
      </c>
      <c r="F163" s="277">
        <v>0</v>
      </c>
      <c r="G163" s="275">
        <v>0.13977776070624987</v>
      </c>
      <c r="H163" s="275">
        <v>0.41126333725336328</v>
      </c>
      <c r="I163" s="275">
        <v>0.81830891307965259</v>
      </c>
      <c r="J163" s="275">
        <v>1.3617786990829248</v>
      </c>
      <c r="K163" s="275">
        <v>2.0436815233036278</v>
      </c>
      <c r="L163" s="275">
        <v>2.8562354824683998</v>
      </c>
      <c r="M163" s="275">
        <v>3.8078266698219192</v>
      </c>
      <c r="N163" s="275">
        <v>4.8941748471575712</v>
      </c>
      <c r="O163" s="275">
        <v>6.1142697853380081</v>
      </c>
      <c r="P163" s="275">
        <v>7.4670103657273312</v>
      </c>
      <c r="Q163" s="275">
        <v>8.9508679551845809</v>
      </c>
      <c r="R163" s="275">
        <v>10.564648059037131</v>
      </c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</row>
    <row r="164" spans="1:33">
      <c r="A164" s="1" t="s">
        <v>150</v>
      </c>
      <c r="C164" s="275">
        <v>0.3820042467121938</v>
      </c>
      <c r="D164" s="277">
        <v>0.42432542335848372</v>
      </c>
      <c r="E164" s="276">
        <v>0.42327423928893604</v>
      </c>
      <c r="F164" s="277">
        <v>0.57023051755958043</v>
      </c>
      <c r="G164" s="275">
        <v>0.85548760901616672</v>
      </c>
      <c r="H164" s="275">
        <v>1.2709755687933086</v>
      </c>
      <c r="I164" s="275">
        <v>1.8205465803293184</v>
      </c>
      <c r="J164" s="275">
        <v>2.5050648545220029</v>
      </c>
      <c r="K164" s="275">
        <v>3.3265392194118104</v>
      </c>
      <c r="L164" s="275">
        <v>4.2771877717253792</v>
      </c>
      <c r="M164" s="275">
        <v>5.3653966047073878</v>
      </c>
      <c r="N164" s="275">
        <v>6.5868854801512198</v>
      </c>
      <c r="O164" s="275">
        <v>7.9406441689195297</v>
      </c>
      <c r="P164" s="275">
        <v>9.4185014520881936</v>
      </c>
      <c r="Q164" s="275">
        <v>11.026073612680541</v>
      </c>
      <c r="R164" s="275">
        <v>12.762166156023948</v>
      </c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</row>
    <row r="165" spans="1:33">
      <c r="A165" s="1"/>
      <c r="C165" s="275"/>
      <c r="D165" s="277"/>
      <c r="E165" s="276"/>
      <c r="F165" s="277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</row>
    <row r="166" spans="1:33">
      <c r="A166" s="262" t="s">
        <v>835</v>
      </c>
      <c r="B166" s="262"/>
      <c r="C166" s="262"/>
      <c r="D166" s="263"/>
      <c r="E166" s="264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</row>
    <row r="167" spans="1:33">
      <c r="A167" s="1"/>
      <c r="C167" s="275">
        <v>62.049928399596219</v>
      </c>
      <c r="D167" s="277">
        <v>59.202496800976839</v>
      </c>
      <c r="E167" s="276">
        <v>54.819315251750432</v>
      </c>
      <c r="F167" s="277">
        <v>53.413448784662663</v>
      </c>
      <c r="G167" s="275">
        <v>52.133562036474942</v>
      </c>
      <c r="H167" s="275">
        <v>51.166303746648339</v>
      </c>
      <c r="I167" s="275">
        <v>50.308564421455863</v>
      </c>
      <c r="J167" s="275">
        <v>50.82302508901698</v>
      </c>
      <c r="K167" s="275">
        <v>51.230910523389781</v>
      </c>
      <c r="L167" s="275">
        <v>51.906012855378471</v>
      </c>
      <c r="M167" s="275">
        <v>53.575992114967349</v>
      </c>
      <c r="N167" s="275">
        <v>53.464675103052606</v>
      </c>
      <c r="O167" s="275">
        <v>52.320849129871185</v>
      </c>
      <c r="P167" s="275">
        <v>49.52642076816656</v>
      </c>
      <c r="Q167" s="275">
        <v>47.488883101104761</v>
      </c>
      <c r="R167" s="275">
        <v>44.857954665527934</v>
      </c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</row>
    <row r="168" spans="1:33">
      <c r="A168" s="1"/>
      <c r="C168" s="275"/>
      <c r="D168" s="277"/>
      <c r="E168" s="276"/>
      <c r="F168" s="277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</row>
    <row r="169" spans="1:33">
      <c r="A169" s="296" t="s">
        <v>836</v>
      </c>
      <c r="B169" s="297"/>
      <c r="C169" s="298"/>
      <c r="D169" s="299"/>
      <c r="E169" s="300"/>
      <c r="F169" s="299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</row>
    <row r="170" spans="1:33">
      <c r="B170" t="s">
        <v>837</v>
      </c>
      <c r="C170" s="11">
        <v>29.944665565353294</v>
      </c>
      <c r="D170" s="11">
        <v>29.555989522821587</v>
      </c>
      <c r="E170" s="11">
        <v>28.473524409972718</v>
      </c>
      <c r="F170" s="11">
        <v>27.259499357898616</v>
      </c>
      <c r="G170" s="11">
        <v>26.983314260189289</v>
      </c>
      <c r="H170" s="11">
        <v>27.65177622383284</v>
      </c>
      <c r="I170" s="11">
        <v>29.089047434031897</v>
      </c>
      <c r="J170" s="11">
        <v>31.018632773074437</v>
      </c>
      <c r="K170" s="11">
        <v>31.120067912613202</v>
      </c>
      <c r="L170" s="11">
        <v>31.197040169147197</v>
      </c>
      <c r="M170" s="11">
        <v>31.328452053563346</v>
      </c>
      <c r="N170" s="11">
        <v>30.98702808715262</v>
      </c>
      <c r="O170" s="11">
        <v>30.93635501098095</v>
      </c>
      <c r="P170" s="11">
        <v>30.797045730751183</v>
      </c>
      <c r="Q170" s="11">
        <v>30.696475664902042</v>
      </c>
      <c r="R170" s="11">
        <v>30.699718657567921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>
      <c r="A171" s="273"/>
      <c r="B171" t="s">
        <v>838</v>
      </c>
      <c r="C171" s="11">
        <v>43.886658160817433</v>
      </c>
      <c r="D171" s="11">
        <v>45.390905473766601</v>
      </c>
      <c r="E171" s="11">
        <v>49.773519697676583</v>
      </c>
      <c r="F171" s="11">
        <v>46.767200349102694</v>
      </c>
      <c r="G171" s="11">
        <v>50.372541318613351</v>
      </c>
      <c r="H171" s="11">
        <v>51.581134830557382</v>
      </c>
      <c r="I171" s="11">
        <v>55.924265140180658</v>
      </c>
      <c r="J171" s="11">
        <v>56.223193534386226</v>
      </c>
      <c r="K171" s="11">
        <v>57.223705511045786</v>
      </c>
      <c r="L171" s="11">
        <v>57.666622192958769</v>
      </c>
      <c r="M171" s="11">
        <v>58.40549296539313</v>
      </c>
      <c r="N171" s="11">
        <v>58.019991675981942</v>
      </c>
      <c r="O171" s="11">
        <v>58.29181915103446</v>
      </c>
      <c r="P171" s="11">
        <v>58.5000752862029</v>
      </c>
      <c r="Q171" s="11">
        <v>58.828973265352595</v>
      </c>
      <c r="R171" s="11">
        <v>58.706490296513216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6.5" customHeight="1"/>
    <row r="173" spans="1:33" ht="19.5" customHeight="1">
      <c r="A173" s="265" t="s">
        <v>773</v>
      </c>
      <c r="B173" s="266"/>
      <c r="C173" s="267"/>
      <c r="D173" s="267"/>
      <c r="E173" s="268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</row>
    <row r="175" spans="1:33">
      <c r="A175" s="262" t="s">
        <v>839</v>
      </c>
      <c r="B175" s="262"/>
      <c r="C175" s="262">
        <v>2020</v>
      </c>
      <c r="D175" s="262">
        <v>2021</v>
      </c>
      <c r="E175" s="264">
        <v>2022</v>
      </c>
      <c r="F175" s="262">
        <v>2023</v>
      </c>
      <c r="G175" s="262">
        <v>2024</v>
      </c>
      <c r="H175" s="262">
        <v>2025</v>
      </c>
      <c r="I175" s="262">
        <v>2026</v>
      </c>
      <c r="J175" s="262">
        <v>2027</v>
      </c>
      <c r="K175" s="262">
        <v>2028</v>
      </c>
      <c r="L175" s="262">
        <v>2029</v>
      </c>
      <c r="M175" s="262">
        <v>2030</v>
      </c>
      <c r="N175" s="262">
        <v>2031</v>
      </c>
      <c r="O175" s="262">
        <v>2032</v>
      </c>
      <c r="P175" s="262">
        <v>2033</v>
      </c>
      <c r="Q175" s="262">
        <v>2034</v>
      </c>
      <c r="R175" s="262">
        <v>2035</v>
      </c>
      <c r="S175" s="272"/>
      <c r="T175" s="27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/>
    </row>
    <row r="176" spans="1:33">
      <c r="A176" s="1" t="s">
        <v>840</v>
      </c>
      <c r="B176" t="s">
        <v>825</v>
      </c>
      <c r="C176" s="275">
        <v>28.952179585870002</v>
      </c>
      <c r="D176" s="277">
        <v>28.934014019140001</v>
      </c>
      <c r="E176" s="276">
        <v>29.150080781020005</v>
      </c>
      <c r="F176" s="277">
        <v>30.609176564811456</v>
      </c>
      <c r="G176" s="275">
        <v>30.812783113747336</v>
      </c>
      <c r="H176" s="275">
        <v>31.255881077421812</v>
      </c>
      <c r="I176" s="275">
        <v>31.418657589781549</v>
      </c>
      <c r="J176" s="275">
        <v>31.522158478169612</v>
      </c>
      <c r="K176" s="275">
        <v>31.394557694133418</v>
      </c>
      <c r="L176" s="275">
        <v>31.260776983178978</v>
      </c>
      <c r="M176" s="275">
        <v>31.136929559831927</v>
      </c>
      <c r="N176" s="275">
        <v>30.973273301982818</v>
      </c>
      <c r="O176" s="275">
        <v>30.610126159266557</v>
      </c>
      <c r="P176" s="275">
        <v>30.072923469858186</v>
      </c>
      <c r="Q176" s="275">
        <v>29.507937063237176</v>
      </c>
      <c r="R176" s="275">
        <v>28.832865177184797</v>
      </c>
      <c r="S176" s="311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  <c r="AF176" s="311"/>
      <c r="AG176" s="311"/>
    </row>
    <row r="177" spans="1:33">
      <c r="A177" s="1"/>
      <c r="B177" t="s">
        <v>826</v>
      </c>
      <c r="C177" s="275">
        <v>3.5275261822199999</v>
      </c>
      <c r="D177" s="277">
        <v>3.5563088976399997</v>
      </c>
      <c r="E177" s="276">
        <v>3.5434611057900001</v>
      </c>
      <c r="F177" s="277">
        <v>3.0689421464338755</v>
      </c>
      <c r="G177" s="275">
        <v>2.9282684144258169</v>
      </c>
      <c r="H177" s="275">
        <v>2.800028240685958</v>
      </c>
      <c r="I177" s="275">
        <v>2.8216235945926464</v>
      </c>
      <c r="J177" s="275">
        <v>2.6623250279031967</v>
      </c>
      <c r="K177" s="275">
        <v>2.5127514481486375</v>
      </c>
      <c r="L177" s="275">
        <v>2.4098981962272092</v>
      </c>
      <c r="M177" s="275">
        <v>2.2894594161526389</v>
      </c>
      <c r="N177" s="275">
        <v>2.1033242828052754</v>
      </c>
      <c r="O177" s="275">
        <v>1.9875915448415897</v>
      </c>
      <c r="P177" s="275">
        <v>1.882881853841524</v>
      </c>
      <c r="Q177" s="275">
        <v>1.6958068906428725</v>
      </c>
      <c r="R177" s="275">
        <v>1.5590578914114221</v>
      </c>
      <c r="S177" s="311"/>
      <c r="T177" s="311"/>
      <c r="U177" s="311"/>
      <c r="V177" s="311"/>
      <c r="W177" s="311"/>
      <c r="X177" s="311"/>
      <c r="Y177" s="311"/>
      <c r="Z177" s="311"/>
      <c r="AA177" s="311"/>
      <c r="AB177" s="311"/>
      <c r="AC177" s="311"/>
      <c r="AD177" s="311"/>
      <c r="AE177" s="311"/>
      <c r="AF177" s="311"/>
      <c r="AG177" s="311"/>
    </row>
    <row r="178" spans="1:33">
      <c r="A178" s="1"/>
      <c r="B178" t="s">
        <v>841</v>
      </c>
      <c r="C178" s="275">
        <v>0.16921021361000005</v>
      </c>
      <c r="D178" s="277">
        <v>0.23801694380999999</v>
      </c>
      <c r="E178" s="276">
        <v>0.45570596705999999</v>
      </c>
      <c r="F178" s="277">
        <v>0.76315610789965327</v>
      </c>
      <c r="G178" s="275">
        <v>0.95171472518198708</v>
      </c>
      <c r="H178" s="275">
        <v>1.037971234006422</v>
      </c>
      <c r="I178" s="275">
        <v>1.1840242099622327</v>
      </c>
      <c r="J178" s="275">
        <v>1.4710318756341609</v>
      </c>
      <c r="K178" s="275">
        <v>1.8477959461306104</v>
      </c>
      <c r="L178" s="275">
        <v>2.2510906856296375</v>
      </c>
      <c r="M178" s="275">
        <v>2.6547070094138956</v>
      </c>
      <c r="N178" s="275">
        <v>3.1935206403756768</v>
      </c>
      <c r="O178" s="275">
        <v>3.7615663240838089</v>
      </c>
      <c r="P178" s="275">
        <v>4.4364287310154698</v>
      </c>
      <c r="Q178" s="275">
        <v>5.3052939358836158</v>
      </c>
      <c r="R178" s="275">
        <v>6.1748107327879769</v>
      </c>
      <c r="S178" s="311"/>
      <c r="T178" s="311"/>
      <c r="U178" s="311"/>
      <c r="V178" s="311"/>
      <c r="W178" s="311"/>
      <c r="X178" s="311"/>
      <c r="Y178" s="311"/>
      <c r="Z178" s="311"/>
      <c r="AA178" s="311"/>
      <c r="AB178" s="311"/>
      <c r="AC178" s="311"/>
      <c r="AD178" s="311"/>
      <c r="AE178" s="311"/>
      <c r="AF178" s="311"/>
      <c r="AG178" s="311"/>
    </row>
    <row r="179" spans="1:33">
      <c r="A179" s="1"/>
      <c r="B179" t="s">
        <v>842</v>
      </c>
      <c r="C179" s="275">
        <v>7.3358843020000009E-2</v>
      </c>
      <c r="D179" s="277">
        <v>0.10381190013</v>
      </c>
      <c r="E179" s="276">
        <v>0.20648286513999994</v>
      </c>
      <c r="F179" s="277">
        <v>0.29065530308501963</v>
      </c>
      <c r="G179" s="275">
        <v>0.35178368181484088</v>
      </c>
      <c r="H179" s="275">
        <v>0.40756619150580775</v>
      </c>
      <c r="I179" s="275">
        <v>0.49636568402356956</v>
      </c>
      <c r="J179" s="275">
        <v>0.63416830832302873</v>
      </c>
      <c r="K179" s="275">
        <v>0.81346364465733301</v>
      </c>
      <c r="L179" s="275">
        <v>1.0188486170241693</v>
      </c>
      <c r="M179" s="275">
        <v>1.2122074536315319</v>
      </c>
      <c r="N179" s="275">
        <v>1.4063104833262279</v>
      </c>
      <c r="O179" s="275">
        <v>1.6069014290480363</v>
      </c>
      <c r="P179" s="275">
        <v>1.8533564126348157</v>
      </c>
      <c r="Q179" s="275">
        <v>2.096289893776353</v>
      </c>
      <c r="R179" s="275">
        <v>2.3608611384358005</v>
      </c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/>
      <c r="AE179" s="311"/>
      <c r="AF179" s="311"/>
      <c r="AG179" s="311"/>
    </row>
    <row r="180" spans="1:33">
      <c r="A180" s="1"/>
      <c r="B180" t="s">
        <v>843</v>
      </c>
      <c r="C180" s="275">
        <v>0</v>
      </c>
      <c r="D180" s="277">
        <v>0</v>
      </c>
      <c r="E180" s="276">
        <v>0</v>
      </c>
      <c r="F180" s="277">
        <v>0</v>
      </c>
      <c r="G180" s="275">
        <v>0</v>
      </c>
      <c r="H180" s="275">
        <v>0</v>
      </c>
      <c r="I180" s="275">
        <v>0</v>
      </c>
      <c r="J180" s="275">
        <v>0</v>
      </c>
      <c r="K180" s="275">
        <v>0</v>
      </c>
      <c r="L180" s="275">
        <v>0</v>
      </c>
      <c r="M180" s="275">
        <v>0</v>
      </c>
      <c r="N180" s="275">
        <v>0</v>
      </c>
      <c r="O180" s="275">
        <v>0</v>
      </c>
      <c r="P180" s="275">
        <v>0</v>
      </c>
      <c r="Q180" s="275">
        <v>0</v>
      </c>
      <c r="R180" s="275">
        <v>0</v>
      </c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  <c r="AC180" s="311"/>
      <c r="AD180" s="311"/>
      <c r="AE180" s="311"/>
      <c r="AF180" s="311"/>
      <c r="AG180" s="311"/>
    </row>
    <row r="181" spans="1:33">
      <c r="A181" s="1" t="s">
        <v>844</v>
      </c>
      <c r="B181" t="s">
        <v>825</v>
      </c>
      <c r="C181" s="275">
        <v>1.3351615522600002</v>
      </c>
      <c r="D181" s="277">
        <v>1.2857860479200001</v>
      </c>
      <c r="E181" s="276">
        <v>1.2753429540100003</v>
      </c>
      <c r="F181" s="277">
        <v>1.6867022971736356</v>
      </c>
      <c r="G181" s="275">
        <v>1.5955172710634158</v>
      </c>
      <c r="H181" s="275">
        <v>1.5950542399818461</v>
      </c>
      <c r="I181" s="275">
        <v>1.4435801976710732</v>
      </c>
      <c r="J181" s="275">
        <v>1.3353814143435401</v>
      </c>
      <c r="K181" s="275">
        <v>1.2897574385301682</v>
      </c>
      <c r="L181" s="275">
        <v>1.1901666636668939</v>
      </c>
      <c r="M181" s="275">
        <v>1.1239013297506635</v>
      </c>
      <c r="N181" s="275">
        <v>1.0048777262620421</v>
      </c>
      <c r="O181" s="275">
        <v>0.94775186022929592</v>
      </c>
      <c r="P181" s="275">
        <v>0.91584622067910426</v>
      </c>
      <c r="Q181" s="275">
        <v>0.82425470206595386</v>
      </c>
      <c r="R181" s="275">
        <v>0.7896248165884272</v>
      </c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  <c r="AC181" s="311"/>
      <c r="AD181" s="311"/>
      <c r="AE181" s="311"/>
      <c r="AF181" s="311"/>
      <c r="AG181" s="311"/>
    </row>
    <row r="182" spans="1:33">
      <c r="A182" s="1"/>
      <c r="B182" t="s">
        <v>826</v>
      </c>
      <c r="C182" s="275">
        <v>7.9468766264200008</v>
      </c>
      <c r="D182" s="277">
        <v>8.3377438837699991</v>
      </c>
      <c r="E182" s="276">
        <v>8.78206169085</v>
      </c>
      <c r="F182" s="277">
        <v>8.7646459363342437</v>
      </c>
      <c r="G182" s="275">
        <v>9.0622727450770046</v>
      </c>
      <c r="H182" s="275">
        <v>9.1791845909345007</v>
      </c>
      <c r="I182" s="275">
        <v>9.393536632384011</v>
      </c>
      <c r="J182" s="275">
        <v>9.5297703549896973</v>
      </c>
      <c r="K182" s="275">
        <v>9.52269453966524</v>
      </c>
      <c r="L182" s="275">
        <v>9.5993583472118935</v>
      </c>
      <c r="M182" s="275">
        <v>9.6099285589333263</v>
      </c>
      <c r="N182" s="275">
        <v>9.6462867943987547</v>
      </c>
      <c r="O182" s="275">
        <v>9.5782475631176762</v>
      </c>
      <c r="P182" s="275">
        <v>9.485643845648136</v>
      </c>
      <c r="Q182" s="275">
        <v>9.3767057446265003</v>
      </c>
      <c r="R182" s="275">
        <v>9.276111785726771</v>
      </c>
      <c r="S182" s="311"/>
      <c r="T182" s="311"/>
      <c r="U182" s="311"/>
      <c r="V182" s="311"/>
      <c r="W182" s="311"/>
      <c r="X182" s="311"/>
      <c r="Y182" s="311"/>
      <c r="Z182" s="311"/>
      <c r="AA182" s="311"/>
      <c r="AB182" s="311"/>
      <c r="AC182" s="311"/>
      <c r="AD182" s="311"/>
      <c r="AE182" s="311"/>
      <c r="AF182" s="311"/>
      <c r="AG182" s="311"/>
    </row>
    <row r="183" spans="1:33">
      <c r="A183" s="1"/>
      <c r="B183" t="s">
        <v>841</v>
      </c>
      <c r="C183" s="275">
        <v>7.36490992E-3</v>
      </c>
      <c r="D183" s="277">
        <v>8.5197977499999987E-3</v>
      </c>
      <c r="E183" s="276">
        <v>1.2108215970000001E-2</v>
      </c>
      <c r="F183" s="277">
        <v>3.6463780035655813E-2</v>
      </c>
      <c r="G183" s="275">
        <v>4.8987339466596572E-2</v>
      </c>
      <c r="H183" s="275">
        <v>9.9045957060553011E-2</v>
      </c>
      <c r="I183" s="275">
        <v>0.1704468431007711</v>
      </c>
      <c r="J183" s="275">
        <v>0.25522967444861844</v>
      </c>
      <c r="K183" s="275">
        <v>0.39595480602649791</v>
      </c>
      <c r="L183" s="275">
        <v>0.54299548773405215</v>
      </c>
      <c r="M183" s="275">
        <v>0.70964201315066355</v>
      </c>
      <c r="N183" s="275">
        <v>0.89183649578947133</v>
      </c>
      <c r="O183" s="275">
        <v>1.1054251068574201</v>
      </c>
      <c r="P183" s="275">
        <v>1.3042377745028924</v>
      </c>
      <c r="Q183" s="275">
        <v>1.5705385785078829</v>
      </c>
      <c r="R183" s="275">
        <v>1.7807221909454449</v>
      </c>
      <c r="S183" s="311"/>
      <c r="T183" s="311"/>
      <c r="U183" s="311"/>
      <c r="V183" s="311"/>
      <c r="W183" s="311"/>
      <c r="X183" s="311"/>
      <c r="Y183" s="311"/>
      <c r="Z183" s="311"/>
      <c r="AA183" s="311"/>
      <c r="AB183" s="311"/>
      <c r="AC183" s="311"/>
      <c r="AD183" s="311"/>
      <c r="AE183" s="311"/>
      <c r="AF183" s="311"/>
      <c r="AG183" s="311"/>
    </row>
    <row r="184" spans="1:33">
      <c r="A184" s="1"/>
      <c r="B184" t="s">
        <v>842</v>
      </c>
      <c r="C184" s="275">
        <v>7.6671499999999999E-6</v>
      </c>
      <c r="D184" s="277">
        <v>1.2779824999999999E-4</v>
      </c>
      <c r="E184" s="276">
        <v>4.7253883000000004E-4</v>
      </c>
      <c r="F184" s="277">
        <v>1.8047838164653978E-3</v>
      </c>
      <c r="G184" s="275">
        <v>2.5804899529829036E-3</v>
      </c>
      <c r="H184" s="275">
        <v>1.4699955443090671E-2</v>
      </c>
      <c r="I184" s="275">
        <v>3.2347029314145556E-2</v>
      </c>
      <c r="J184" s="275">
        <v>5.4887209258141903E-2</v>
      </c>
      <c r="K184" s="275">
        <v>8.7145346518095551E-2</v>
      </c>
      <c r="L184" s="275">
        <v>0.12517167291716239</v>
      </c>
      <c r="M184" s="275">
        <v>0.16738556383535091</v>
      </c>
      <c r="N184" s="275">
        <v>0.21761748433973382</v>
      </c>
      <c r="O184" s="275">
        <v>0.26083563433560708</v>
      </c>
      <c r="P184" s="275">
        <v>0.30608900882987444</v>
      </c>
      <c r="Q184" s="275">
        <v>0.36214843078966302</v>
      </c>
      <c r="R184" s="275">
        <v>0.40454487425935604</v>
      </c>
      <c r="S184" s="311"/>
      <c r="T184" s="311"/>
      <c r="U184" s="311"/>
      <c r="V184" s="311"/>
      <c r="W184" s="311"/>
      <c r="X184" s="311"/>
      <c r="Y184" s="311"/>
      <c r="Z184" s="311"/>
      <c r="AA184" s="311"/>
      <c r="AB184" s="311"/>
      <c r="AC184" s="311"/>
      <c r="AD184" s="311"/>
      <c r="AE184" s="311"/>
      <c r="AF184" s="311"/>
      <c r="AG184" s="311"/>
    </row>
    <row r="185" spans="1:33">
      <c r="A185" s="1"/>
      <c r="B185" t="s">
        <v>843</v>
      </c>
      <c r="C185" s="275">
        <v>0</v>
      </c>
      <c r="D185" s="277">
        <v>0</v>
      </c>
      <c r="E185" s="276">
        <v>0</v>
      </c>
      <c r="F185" s="277">
        <v>0</v>
      </c>
      <c r="G185" s="275">
        <v>0</v>
      </c>
      <c r="H185" s="275">
        <v>0</v>
      </c>
      <c r="I185" s="275">
        <v>0</v>
      </c>
      <c r="J185" s="275">
        <v>0</v>
      </c>
      <c r="K185" s="275">
        <v>0</v>
      </c>
      <c r="L185" s="275">
        <v>0</v>
      </c>
      <c r="M185" s="275">
        <v>0</v>
      </c>
      <c r="N185" s="275">
        <v>0</v>
      </c>
      <c r="O185" s="275">
        <v>0</v>
      </c>
      <c r="P185" s="275">
        <v>0</v>
      </c>
      <c r="Q185" s="275">
        <v>0</v>
      </c>
      <c r="R185" s="275">
        <v>0</v>
      </c>
      <c r="S185" s="311"/>
      <c r="T185" s="311"/>
      <c r="U185" s="311"/>
      <c r="V185" s="311"/>
      <c r="W185" s="311"/>
      <c r="X185" s="311"/>
      <c r="Y185" s="311"/>
      <c r="Z185" s="311"/>
      <c r="AA185" s="311"/>
      <c r="AB185" s="311"/>
      <c r="AC185" s="311"/>
      <c r="AD185" s="311"/>
      <c r="AE185" s="311"/>
      <c r="AF185" s="311"/>
      <c r="AG185" s="311"/>
    </row>
    <row r="186" spans="1:33">
      <c r="A186" s="1" t="s">
        <v>845</v>
      </c>
      <c r="B186" t="s">
        <v>825</v>
      </c>
      <c r="C186" s="275">
        <v>0.42395699158000005</v>
      </c>
      <c r="D186" s="277">
        <v>0.4231069100899999</v>
      </c>
      <c r="E186" s="276">
        <v>0.40822299215999991</v>
      </c>
      <c r="F186" s="277">
        <v>0.39222798841622181</v>
      </c>
      <c r="G186" s="275">
        <v>0.39330762913015332</v>
      </c>
      <c r="H186" s="275">
        <v>0.39345533190825299</v>
      </c>
      <c r="I186" s="275">
        <v>0.39293811214435703</v>
      </c>
      <c r="J186" s="275">
        <v>0.39106252326996249</v>
      </c>
      <c r="K186" s="275">
        <v>0.38808305652407238</v>
      </c>
      <c r="L186" s="275">
        <v>0.38381597969737391</v>
      </c>
      <c r="M186" s="275">
        <v>0.37811973332214355</v>
      </c>
      <c r="N186" s="275">
        <v>0.36976642240833263</v>
      </c>
      <c r="O186" s="275">
        <v>0.35956522729959511</v>
      </c>
      <c r="P186" s="275">
        <v>0.34599159701446386</v>
      </c>
      <c r="Q186" s="275">
        <v>0.32957166940139693</v>
      </c>
      <c r="R186" s="275">
        <v>0.31062836567053742</v>
      </c>
      <c r="S186" s="311"/>
      <c r="T186" s="311"/>
      <c r="U186" s="311"/>
      <c r="V186" s="311"/>
      <c r="W186" s="311"/>
      <c r="X186" s="311"/>
      <c r="Y186" s="311"/>
      <c r="Z186" s="311"/>
      <c r="AA186" s="311"/>
      <c r="AB186" s="311"/>
      <c r="AC186" s="311"/>
      <c r="AD186" s="311"/>
      <c r="AE186" s="311"/>
      <c r="AF186" s="311"/>
      <c r="AG186" s="311"/>
    </row>
    <row r="187" spans="1:33">
      <c r="A187" s="1"/>
      <c r="B187" t="s">
        <v>826</v>
      </c>
      <c r="C187" s="275">
        <v>0</v>
      </c>
      <c r="D187" s="277">
        <v>0</v>
      </c>
      <c r="E187" s="276">
        <v>0</v>
      </c>
      <c r="F187" s="277">
        <v>0</v>
      </c>
      <c r="G187" s="275">
        <v>0</v>
      </c>
      <c r="H187" s="275">
        <v>0</v>
      </c>
      <c r="I187" s="275">
        <v>0</v>
      </c>
      <c r="J187" s="275">
        <v>0</v>
      </c>
      <c r="K187" s="275">
        <v>0</v>
      </c>
      <c r="L187" s="275">
        <v>0</v>
      </c>
      <c r="M187" s="275">
        <v>0</v>
      </c>
      <c r="N187" s="275">
        <v>0</v>
      </c>
      <c r="O187" s="275">
        <v>0</v>
      </c>
      <c r="P187" s="275">
        <v>0</v>
      </c>
      <c r="Q187" s="275">
        <v>0</v>
      </c>
      <c r="R187" s="275">
        <v>0</v>
      </c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</row>
    <row r="188" spans="1:33">
      <c r="A188" s="1"/>
      <c r="B188" t="s">
        <v>841</v>
      </c>
      <c r="C188" s="275">
        <v>1.8304523900000002E-3</v>
      </c>
      <c r="D188" s="277">
        <v>2.6400367800000005E-3</v>
      </c>
      <c r="E188" s="276">
        <v>3.8248728999999999E-3</v>
      </c>
      <c r="F188" s="277">
        <v>5.7631140611320072E-3</v>
      </c>
      <c r="G188" s="275">
        <v>6.5662274816210573E-3</v>
      </c>
      <c r="H188" s="275">
        <v>7.8215714414773176E-3</v>
      </c>
      <c r="I188" s="275">
        <v>9.4407043784327498E-3</v>
      </c>
      <c r="J188" s="275">
        <v>1.2066088669082776E-2</v>
      </c>
      <c r="K188" s="275">
        <v>1.5365329017149661E-2</v>
      </c>
      <c r="L188" s="275">
        <v>2.0405877007953783E-2</v>
      </c>
      <c r="M188" s="275">
        <v>2.6290615007879884E-2</v>
      </c>
      <c r="N188" s="275">
        <v>3.426313683681062E-2</v>
      </c>
      <c r="O188" s="275">
        <v>4.3625673915070065E-2</v>
      </c>
      <c r="P188" s="275">
        <v>5.548112979864598E-2</v>
      </c>
      <c r="Q188" s="275">
        <v>7.0548472512895949E-2</v>
      </c>
      <c r="R188" s="275">
        <v>8.7710200916234826E-2</v>
      </c>
      <c r="S188" s="311"/>
      <c r="T188" s="311"/>
      <c r="U188" s="311"/>
      <c r="V188" s="311"/>
      <c r="W188" s="311"/>
      <c r="X188" s="311"/>
      <c r="Y188" s="311"/>
      <c r="Z188" s="311"/>
      <c r="AA188" s="311"/>
      <c r="AB188" s="311"/>
      <c r="AC188" s="311"/>
      <c r="AD188" s="311"/>
      <c r="AE188" s="311"/>
      <c r="AF188" s="311"/>
      <c r="AG188" s="311"/>
    </row>
    <row r="189" spans="1:33">
      <c r="A189" s="1"/>
      <c r="B189" t="s">
        <v>842</v>
      </c>
      <c r="C189" s="275">
        <v>0</v>
      </c>
      <c r="D189" s="277">
        <v>0</v>
      </c>
      <c r="E189" s="276">
        <v>0</v>
      </c>
      <c r="F189" s="277">
        <v>8.8975226461844111E-6</v>
      </c>
      <c r="G189" s="275">
        <v>1.614338822562303E-5</v>
      </c>
      <c r="H189" s="275">
        <v>2.230966502698899E-4</v>
      </c>
      <c r="I189" s="275">
        <v>5.2118348721015876E-4</v>
      </c>
      <c r="J189" s="275">
        <v>9.6138806095475663E-4</v>
      </c>
      <c r="K189" s="275">
        <v>1.5516144587782322E-3</v>
      </c>
      <c r="L189" s="275">
        <v>2.4281432846720518E-3</v>
      </c>
      <c r="M189" s="275">
        <v>3.4396516799767179E-3</v>
      </c>
      <c r="N189" s="275">
        <v>4.8204407548570359E-3</v>
      </c>
      <c r="O189" s="275">
        <v>6.4590987853347277E-3</v>
      </c>
      <c r="P189" s="275">
        <v>8.5272731868901597E-3</v>
      </c>
      <c r="Q189" s="275">
        <v>1.1079858085707231E-2</v>
      </c>
      <c r="R189" s="275">
        <v>1.4061433403227803E-2</v>
      </c>
      <c r="S189" s="311"/>
      <c r="T189" s="311"/>
      <c r="U189" s="311"/>
      <c r="V189" s="311"/>
      <c r="W189" s="311"/>
      <c r="X189" s="311"/>
      <c r="Y189" s="311"/>
      <c r="Z189" s="311"/>
      <c r="AA189" s="311"/>
      <c r="AB189" s="311"/>
      <c r="AC189" s="311"/>
      <c r="AD189" s="311"/>
      <c r="AE189" s="311"/>
      <c r="AF189" s="311"/>
      <c r="AG189" s="311"/>
    </row>
    <row r="190" spans="1:33">
      <c r="A190" s="1"/>
      <c r="B190" t="s">
        <v>843</v>
      </c>
      <c r="C190" s="275">
        <v>0</v>
      </c>
      <c r="D190" s="277">
        <v>0</v>
      </c>
      <c r="E190" s="276">
        <v>0</v>
      </c>
      <c r="F190" s="277">
        <v>0</v>
      </c>
      <c r="G190" s="275">
        <v>0</v>
      </c>
      <c r="H190" s="275">
        <v>0</v>
      </c>
      <c r="I190" s="275">
        <v>0</v>
      </c>
      <c r="J190" s="275">
        <v>0</v>
      </c>
      <c r="K190" s="275">
        <v>0</v>
      </c>
      <c r="L190" s="275">
        <v>0</v>
      </c>
      <c r="M190" s="275">
        <v>0</v>
      </c>
      <c r="N190" s="275">
        <v>0</v>
      </c>
      <c r="O190" s="275">
        <v>0</v>
      </c>
      <c r="P190" s="275">
        <v>0</v>
      </c>
      <c r="Q190" s="275">
        <v>0</v>
      </c>
      <c r="R190" s="275">
        <v>0</v>
      </c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/>
      <c r="AE190" s="311"/>
      <c r="AF190" s="311"/>
      <c r="AG190" s="311"/>
    </row>
    <row r="191" spans="1:33">
      <c r="A191" s="1" t="s">
        <v>846</v>
      </c>
      <c r="B191" t="s">
        <v>825</v>
      </c>
      <c r="C191" s="275">
        <v>6.9540910699999996E-3</v>
      </c>
      <c r="D191" s="277">
        <v>7.5165721299999995E-3</v>
      </c>
      <c r="E191" s="276">
        <v>7.6640460299999998E-3</v>
      </c>
      <c r="F191" s="277">
        <v>1.4507623224940614E-2</v>
      </c>
      <c r="G191" s="275">
        <v>1.5380153915979659E-2</v>
      </c>
      <c r="H191" s="275">
        <v>1.3977289877670962E-2</v>
      </c>
      <c r="I191" s="275">
        <v>1.3428975652561886E-2</v>
      </c>
      <c r="J191" s="275">
        <v>1.3487452998450679E-2</v>
      </c>
      <c r="K191" s="275">
        <v>1.2952113376913019E-2</v>
      </c>
      <c r="L191" s="275">
        <v>1.2995253256918788E-2</v>
      </c>
      <c r="M191" s="275">
        <v>1.1699817183582021E-2</v>
      </c>
      <c r="N191" s="275">
        <v>1.041284348123778E-2</v>
      </c>
      <c r="O191" s="275">
        <v>9.6174985786549871E-3</v>
      </c>
      <c r="P191" s="275">
        <v>8.9459920422349307E-3</v>
      </c>
      <c r="Q191" s="275">
        <v>7.708390449217283E-3</v>
      </c>
      <c r="R191" s="275">
        <v>6.927162820705466E-3</v>
      </c>
      <c r="S191" s="311"/>
      <c r="T191" s="311"/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F191" s="311"/>
      <c r="AG191" s="311"/>
    </row>
    <row r="192" spans="1:33">
      <c r="A192" s="1"/>
      <c r="B192" t="s">
        <v>826</v>
      </c>
      <c r="C192" s="275">
        <v>0.79531370361999998</v>
      </c>
      <c r="D192" s="277">
        <v>0.81362960733</v>
      </c>
      <c r="E192" s="276">
        <v>0.83984788586000003</v>
      </c>
      <c r="F192" s="277">
        <v>0.84683918225550958</v>
      </c>
      <c r="G192" s="275">
        <v>0.86178293378080506</v>
      </c>
      <c r="H192" s="275">
        <v>0.8770055204434325</v>
      </c>
      <c r="I192" s="275">
        <v>0.88733623875910539</v>
      </c>
      <c r="J192" s="275">
        <v>0.8937008428341936</v>
      </c>
      <c r="K192" s="275">
        <v>0.89902180537083753</v>
      </c>
      <c r="L192" s="275">
        <v>0.90282652962245258</v>
      </c>
      <c r="M192" s="275">
        <v>0.90750534996370513</v>
      </c>
      <c r="N192" s="275">
        <v>0.9117406038037783</v>
      </c>
      <c r="O192" s="275">
        <v>0.91302329096097334</v>
      </c>
      <c r="P192" s="275">
        <v>0.91291534532935514</v>
      </c>
      <c r="Q192" s="275">
        <v>0.90883668590550637</v>
      </c>
      <c r="R192" s="275">
        <v>0.90160749746974</v>
      </c>
      <c r="S192" s="311"/>
      <c r="T192" s="311"/>
      <c r="U192" s="311"/>
      <c r="V192" s="311"/>
      <c r="W192" s="311"/>
      <c r="X192" s="311"/>
      <c r="Y192" s="311"/>
      <c r="Z192" s="311"/>
      <c r="AA192" s="311"/>
      <c r="AB192" s="311"/>
      <c r="AC192" s="311"/>
      <c r="AD192" s="311"/>
      <c r="AE192" s="311"/>
      <c r="AF192" s="311"/>
      <c r="AG192" s="311"/>
    </row>
    <row r="193" spans="1:33">
      <c r="A193" s="1"/>
      <c r="B193" t="s">
        <v>841</v>
      </c>
      <c r="C193" s="275">
        <v>5.1764323000000009E-4</v>
      </c>
      <c r="D193" s="277">
        <v>6.2756766000000006E-4</v>
      </c>
      <c r="E193" s="276">
        <v>8.8428167000000003E-4</v>
      </c>
      <c r="F193" s="277">
        <v>2.1660807880644201E-3</v>
      </c>
      <c r="G193" s="275">
        <v>2.2450122641377236E-3</v>
      </c>
      <c r="H193" s="275">
        <v>2.2748713943498999E-3</v>
      </c>
      <c r="I193" s="275">
        <v>2.2483169723499651E-3</v>
      </c>
      <c r="J193" s="275">
        <v>2.5064415384575735E-3</v>
      </c>
      <c r="K193" s="275">
        <v>2.8556984294924844E-3</v>
      </c>
      <c r="L193" s="275">
        <v>3.8711127108688901E-3</v>
      </c>
      <c r="M193" s="275">
        <v>5.3231521254960652E-3</v>
      </c>
      <c r="N193" s="275">
        <v>7.6475610145624257E-3</v>
      </c>
      <c r="O193" s="275">
        <v>1.1856556415296994E-2</v>
      </c>
      <c r="P193" s="275">
        <v>1.6803420608656239E-2</v>
      </c>
      <c r="Q193" s="275">
        <v>2.2521178646494971E-2</v>
      </c>
      <c r="R193" s="275">
        <v>3.0797223050424902E-2</v>
      </c>
      <c r="S193" s="311"/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F193" s="311"/>
      <c r="AG193" s="311"/>
    </row>
    <row r="194" spans="1:33">
      <c r="A194" s="1"/>
      <c r="B194" t="s">
        <v>842</v>
      </c>
      <c r="C194" s="275">
        <v>0</v>
      </c>
      <c r="D194" s="277">
        <v>0</v>
      </c>
      <c r="E194" s="276">
        <v>0</v>
      </c>
      <c r="F194" s="277">
        <v>9.7551485642107656E-8</v>
      </c>
      <c r="G194" s="275">
        <v>1.0503907764838599E-7</v>
      </c>
      <c r="H194" s="275">
        <v>2.9227845469580034E-6</v>
      </c>
      <c r="I194" s="275">
        <v>8.2688659828142725E-6</v>
      </c>
      <c r="J194" s="275">
        <v>2.1275888897604549E-5</v>
      </c>
      <c r="K194" s="275">
        <v>4.4897342757168446E-5</v>
      </c>
      <c r="L194" s="275">
        <v>9.6484179759784105E-5</v>
      </c>
      <c r="M194" s="275">
        <v>1.7370530721673671E-4</v>
      </c>
      <c r="N194" s="275">
        <v>2.9597043042176935E-4</v>
      </c>
      <c r="O194" s="275">
        <v>5.0423859507511631E-4</v>
      </c>
      <c r="P194" s="275">
        <v>7.537437397541597E-4</v>
      </c>
      <c r="Q194" s="275">
        <v>1.0646849487811897E-3</v>
      </c>
      <c r="R194" s="275">
        <v>1.5075906791292421E-3</v>
      </c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</row>
    <row r="195" spans="1:33">
      <c r="A195" s="1"/>
      <c r="B195" t="s">
        <v>843</v>
      </c>
      <c r="C195" s="275">
        <v>0</v>
      </c>
      <c r="D195" s="277">
        <v>0</v>
      </c>
      <c r="E195" s="276">
        <v>0</v>
      </c>
      <c r="F195" s="277">
        <v>0</v>
      </c>
      <c r="G195" s="275">
        <v>0</v>
      </c>
      <c r="H195" s="275">
        <v>0</v>
      </c>
      <c r="I195" s="275">
        <v>0</v>
      </c>
      <c r="J195" s="275">
        <v>0</v>
      </c>
      <c r="K195" s="275">
        <v>0</v>
      </c>
      <c r="L195" s="275">
        <v>0</v>
      </c>
      <c r="M195" s="275">
        <v>0</v>
      </c>
      <c r="N195" s="275">
        <v>0</v>
      </c>
      <c r="O195" s="275">
        <v>0</v>
      </c>
      <c r="P195" s="275">
        <v>0</v>
      </c>
      <c r="Q195" s="275">
        <v>0</v>
      </c>
      <c r="R195" s="275">
        <v>0</v>
      </c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</row>
    <row r="196" spans="1:33">
      <c r="A196" s="1" t="s">
        <v>847</v>
      </c>
      <c r="B196" t="s">
        <v>825</v>
      </c>
      <c r="C196" s="275">
        <v>1.4694629299999999E-3</v>
      </c>
      <c r="D196" s="277">
        <v>1.2125684900000002E-3</v>
      </c>
      <c r="E196" s="276">
        <v>1.0895746499999998E-3</v>
      </c>
      <c r="F196" s="277">
        <v>9.8895034437954839E-3</v>
      </c>
      <c r="G196" s="275">
        <v>9.999481709669104E-3</v>
      </c>
      <c r="H196" s="275">
        <v>1.1039894205008151E-2</v>
      </c>
      <c r="I196" s="275">
        <v>1.0138246684356898E-2</v>
      </c>
      <c r="J196" s="275">
        <v>1.0958544979558699E-2</v>
      </c>
      <c r="K196" s="275">
        <v>1.0312338564013418E-2</v>
      </c>
      <c r="L196" s="275">
        <v>1.0558006870332736E-2</v>
      </c>
      <c r="M196" s="275">
        <v>1.0000979682456529E-2</v>
      </c>
      <c r="N196" s="275">
        <v>9.48894867634059E-3</v>
      </c>
      <c r="O196" s="275">
        <v>8.5707196841611228E-3</v>
      </c>
      <c r="P196" s="275">
        <v>8.1651654592159034E-3</v>
      </c>
      <c r="Q196" s="275">
        <v>7.1869509113754847E-3</v>
      </c>
      <c r="R196" s="275">
        <v>6.3841393973695483E-3</v>
      </c>
      <c r="S196" s="311"/>
      <c r="T196" s="311"/>
      <c r="U196" s="311"/>
      <c r="V196" s="311"/>
      <c r="W196" s="311"/>
      <c r="X196" s="311"/>
      <c r="Y196" s="311"/>
      <c r="Z196" s="311"/>
      <c r="AA196" s="311"/>
      <c r="AB196" s="311"/>
      <c r="AC196" s="311"/>
      <c r="AD196" s="311"/>
      <c r="AE196" s="311"/>
      <c r="AF196" s="311"/>
      <c r="AG196" s="311"/>
    </row>
    <row r="197" spans="1:33">
      <c r="A197" s="1"/>
      <c r="B197" t="s">
        <v>826</v>
      </c>
      <c r="C197" s="275">
        <v>2.1972143439500003</v>
      </c>
      <c r="D197" s="277">
        <v>2.3189849221099998</v>
      </c>
      <c r="E197" s="276">
        <v>2.3495634884299994</v>
      </c>
      <c r="F197" s="277">
        <v>2.3793258240631108</v>
      </c>
      <c r="G197" s="275">
        <v>2.4233725223492102</v>
      </c>
      <c r="H197" s="275">
        <v>2.4603904328026931</v>
      </c>
      <c r="I197" s="275">
        <v>2.4883604833072321</v>
      </c>
      <c r="J197" s="275">
        <v>2.5053146111091498</v>
      </c>
      <c r="K197" s="275">
        <v>2.5196471842937882</v>
      </c>
      <c r="L197" s="275">
        <v>2.531796817057208</v>
      </c>
      <c r="M197" s="275">
        <v>2.5441864544562867</v>
      </c>
      <c r="N197" s="275">
        <v>2.5565109579455934</v>
      </c>
      <c r="O197" s="275">
        <v>2.567798729174521</v>
      </c>
      <c r="P197" s="275">
        <v>2.5747430653697196</v>
      </c>
      <c r="Q197" s="275">
        <v>2.5708701614370257</v>
      </c>
      <c r="R197" s="275">
        <v>2.5654933554575337</v>
      </c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</row>
    <row r="198" spans="1:33">
      <c r="A198" s="1"/>
      <c r="B198" t="s">
        <v>841</v>
      </c>
      <c r="C198" s="275">
        <v>4.6285900999999989E-4</v>
      </c>
      <c r="D198" s="277">
        <v>6.9508396000000016E-4</v>
      </c>
      <c r="E198" s="276">
        <v>7.4675430000000007E-4</v>
      </c>
      <c r="F198" s="277">
        <v>4.5828954736938455E-3</v>
      </c>
      <c r="G198" s="275">
        <v>4.3943666881344568E-3</v>
      </c>
      <c r="H198" s="275">
        <v>4.6262631041521264E-3</v>
      </c>
      <c r="I198" s="275">
        <v>4.5040617848028826E-3</v>
      </c>
      <c r="J198" s="275">
        <v>5.1581783721740947E-3</v>
      </c>
      <c r="K198" s="275">
        <v>5.6308741052204766E-3</v>
      </c>
      <c r="L198" s="275">
        <v>6.7037293757733953E-3</v>
      </c>
      <c r="M198" s="275">
        <v>8.3175085282024327E-3</v>
      </c>
      <c r="N198" s="275">
        <v>1.1248970644172945E-2</v>
      </c>
      <c r="O198" s="275">
        <v>1.4242884067834909E-2</v>
      </c>
      <c r="P198" s="275">
        <v>1.9588201405743855E-2</v>
      </c>
      <c r="Q198" s="275">
        <v>2.6040047900854651E-2</v>
      </c>
      <c r="R198" s="275">
        <v>3.3706641514891049E-2</v>
      </c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</row>
    <row r="199" spans="1:33">
      <c r="A199" s="1"/>
      <c r="B199" t="s">
        <v>842</v>
      </c>
      <c r="C199" s="275">
        <v>0</v>
      </c>
      <c r="D199" s="277">
        <v>0</v>
      </c>
      <c r="E199" s="276">
        <v>0</v>
      </c>
      <c r="F199" s="277">
        <v>1.0643940065785474E-7</v>
      </c>
      <c r="G199" s="275">
        <v>1.1496298600367355E-7</v>
      </c>
      <c r="H199" s="275">
        <v>6.6362981467300367E-6</v>
      </c>
      <c r="I199" s="275">
        <v>1.5770903609268878E-5</v>
      </c>
      <c r="J199" s="275">
        <v>3.498002911787549E-5</v>
      </c>
      <c r="K199" s="275">
        <v>6.5421476977564131E-5</v>
      </c>
      <c r="L199" s="275">
        <v>1.2642583668630213E-4</v>
      </c>
      <c r="M199" s="275">
        <v>2.0723253305433915E-4</v>
      </c>
      <c r="N199" s="275">
        <v>3.4389324389386719E-4</v>
      </c>
      <c r="O199" s="275">
        <v>5.0851033348369801E-4</v>
      </c>
      <c r="P199" s="275">
        <v>8.0010117532003063E-4</v>
      </c>
      <c r="Q199" s="275">
        <v>1.1150676307440618E-3</v>
      </c>
      <c r="R199" s="275">
        <v>1.5431589402060953E-3</v>
      </c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311"/>
      <c r="AD199" s="311"/>
      <c r="AE199" s="311"/>
      <c r="AF199" s="311"/>
      <c r="AG199" s="311"/>
    </row>
    <row r="200" spans="1:33">
      <c r="A200" s="1"/>
      <c r="B200" t="s">
        <v>843</v>
      </c>
      <c r="C200" s="275">
        <v>0</v>
      </c>
      <c r="D200" s="277">
        <v>0</v>
      </c>
      <c r="E200" s="276">
        <v>0</v>
      </c>
      <c r="F200" s="277">
        <v>0</v>
      </c>
      <c r="G200" s="275">
        <v>0</v>
      </c>
      <c r="H200" s="275">
        <v>0</v>
      </c>
      <c r="I200" s="275">
        <v>0</v>
      </c>
      <c r="J200" s="275">
        <v>0</v>
      </c>
      <c r="K200" s="275">
        <v>0</v>
      </c>
      <c r="L200" s="275">
        <v>0</v>
      </c>
      <c r="M200" s="275">
        <v>0</v>
      </c>
      <c r="N200" s="275">
        <v>0</v>
      </c>
      <c r="O200" s="275">
        <v>0</v>
      </c>
      <c r="P200" s="275">
        <v>0</v>
      </c>
      <c r="Q200" s="275">
        <v>0</v>
      </c>
      <c r="R200" s="275">
        <v>0</v>
      </c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</row>
    <row r="201" spans="1:33">
      <c r="A201" s="1" t="s">
        <v>848</v>
      </c>
      <c r="B201" t="s">
        <v>825</v>
      </c>
      <c r="C201" s="275">
        <v>5.4898472999999988E-4</v>
      </c>
      <c r="D201" s="277">
        <v>5.2691051000000003E-4</v>
      </c>
      <c r="E201" s="276">
        <v>5.5291960000000001E-4</v>
      </c>
      <c r="F201" s="277">
        <v>2.3482898137218897E-3</v>
      </c>
      <c r="G201" s="275">
        <v>2.3778575596184242E-3</v>
      </c>
      <c r="H201" s="275">
        <v>2.4245249840558832E-3</v>
      </c>
      <c r="I201" s="275">
        <v>2.2257636727527046E-3</v>
      </c>
      <c r="J201" s="275">
        <v>2.1977490344049062E-3</v>
      </c>
      <c r="K201" s="275">
        <v>2.1347968064770882E-3</v>
      </c>
      <c r="L201" s="275">
        <v>2.040658756683507E-3</v>
      </c>
      <c r="M201" s="275">
        <v>1.9264960497810154E-3</v>
      </c>
      <c r="N201" s="275">
        <v>1.7701012884940664E-3</v>
      </c>
      <c r="O201" s="275">
        <v>1.6892706708095705E-3</v>
      </c>
      <c r="P201" s="275">
        <v>1.5995863658403134E-3</v>
      </c>
      <c r="Q201" s="275">
        <v>1.5314981907820454E-3</v>
      </c>
      <c r="R201" s="275">
        <v>1.5092455573687553E-3</v>
      </c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311"/>
      <c r="AD201" s="311"/>
      <c r="AE201" s="311"/>
      <c r="AF201" s="311"/>
      <c r="AG201" s="311"/>
    </row>
    <row r="202" spans="1:33">
      <c r="A202" s="1"/>
      <c r="B202" t="s">
        <v>826</v>
      </c>
      <c r="C202" s="275">
        <v>0.25712069995000003</v>
      </c>
      <c r="D202" s="277">
        <v>0.24548218551999998</v>
      </c>
      <c r="E202" s="276">
        <v>0.24909815032000002</v>
      </c>
      <c r="F202" s="277">
        <v>0.26176600893201973</v>
      </c>
      <c r="G202" s="275">
        <v>0.26029690020571572</v>
      </c>
      <c r="H202" s="275">
        <v>0.25585448908920189</v>
      </c>
      <c r="I202" s="275">
        <v>0.25154763233117655</v>
      </c>
      <c r="J202" s="275">
        <v>0.2453467396060986</v>
      </c>
      <c r="K202" s="275">
        <v>0.23664598108371487</v>
      </c>
      <c r="L202" s="275">
        <v>0.22906981959570558</v>
      </c>
      <c r="M202" s="275">
        <v>0.21915015371860394</v>
      </c>
      <c r="N202" s="275">
        <v>0.21163870972016668</v>
      </c>
      <c r="O202" s="275">
        <v>0.20332815117251724</v>
      </c>
      <c r="P202" s="275">
        <v>0.19226180188678171</v>
      </c>
      <c r="Q202" s="275">
        <v>0.18323470175316056</v>
      </c>
      <c r="R202" s="275">
        <v>0.16829057189964711</v>
      </c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311"/>
      <c r="AD202" s="311"/>
      <c r="AE202" s="311"/>
      <c r="AF202" s="311"/>
      <c r="AG202" s="311"/>
    </row>
    <row r="203" spans="1:33">
      <c r="A203" s="1"/>
      <c r="B203" t="s">
        <v>841</v>
      </c>
      <c r="C203" s="275">
        <v>2.4883834600000006E-3</v>
      </c>
      <c r="D203" s="277">
        <v>4.424830319999999E-3</v>
      </c>
      <c r="E203" s="276">
        <v>9.2027032299999978E-3</v>
      </c>
      <c r="F203" s="277">
        <v>2.4555091454258417E-2</v>
      </c>
      <c r="G203" s="275">
        <v>3.2243313604665876E-2</v>
      </c>
      <c r="H203" s="275">
        <v>4.1923141746742207E-2</v>
      </c>
      <c r="I203" s="275">
        <v>5.1282386946070728E-2</v>
      </c>
      <c r="J203" s="275">
        <v>6.163735189949638E-2</v>
      </c>
      <c r="K203" s="275">
        <v>7.401306680980807E-2</v>
      </c>
      <c r="L203" s="275">
        <v>8.5308060877610975E-2</v>
      </c>
      <c r="M203" s="275">
        <v>9.8952055591615129E-2</v>
      </c>
      <c r="N203" s="275">
        <v>0.11023764022133929</v>
      </c>
      <c r="O203" s="275">
        <v>0.12223957508667324</v>
      </c>
      <c r="P203" s="275">
        <v>0.13701258322737811</v>
      </c>
      <c r="Q203" s="275">
        <v>0.14953927630605748</v>
      </c>
      <c r="R203" s="275">
        <v>0.16813017936298416</v>
      </c>
      <c r="S203" s="311"/>
      <c r="T203" s="311"/>
      <c r="U203" s="311"/>
      <c r="V203" s="311"/>
      <c r="W203" s="311"/>
      <c r="X203" s="311"/>
      <c r="Y203" s="311"/>
      <c r="Z203" s="311"/>
      <c r="AA203" s="311"/>
      <c r="AB203" s="311"/>
      <c r="AC203" s="311"/>
      <c r="AD203" s="311"/>
      <c r="AE203" s="311"/>
      <c r="AF203" s="311"/>
      <c r="AG203" s="311"/>
    </row>
    <row r="204" spans="1:33">
      <c r="A204" s="1"/>
      <c r="B204" t="s">
        <v>842</v>
      </c>
      <c r="C204" s="275">
        <v>0</v>
      </c>
      <c r="D204" s="277">
        <v>5.7398000000000005E-6</v>
      </c>
      <c r="E204" s="276">
        <v>9.5808700000000013E-6</v>
      </c>
      <c r="F204" s="277">
        <v>0</v>
      </c>
      <c r="G204" s="275">
        <v>0</v>
      </c>
      <c r="H204" s="275">
        <v>0</v>
      </c>
      <c r="I204" s="275">
        <v>0</v>
      </c>
      <c r="J204" s="275">
        <v>0</v>
      </c>
      <c r="K204" s="275">
        <v>0</v>
      </c>
      <c r="L204" s="275">
        <v>0</v>
      </c>
      <c r="M204" s="275">
        <v>0</v>
      </c>
      <c r="N204" s="275">
        <v>0</v>
      </c>
      <c r="O204" s="275">
        <v>0</v>
      </c>
      <c r="P204" s="275">
        <v>0</v>
      </c>
      <c r="Q204" s="275">
        <v>0</v>
      </c>
      <c r="R204" s="275">
        <v>0</v>
      </c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311"/>
      <c r="AD204" s="311"/>
      <c r="AE204" s="311"/>
      <c r="AF204" s="311"/>
      <c r="AG204" s="311"/>
    </row>
    <row r="205" spans="1:33">
      <c r="A205" s="1"/>
      <c r="B205" t="s">
        <v>843</v>
      </c>
      <c r="C205" s="275">
        <v>0</v>
      </c>
      <c r="D205" s="277">
        <v>0</v>
      </c>
      <c r="E205" s="276">
        <v>0</v>
      </c>
      <c r="F205" s="277">
        <v>0</v>
      </c>
      <c r="G205" s="275">
        <v>0</v>
      </c>
      <c r="H205" s="275">
        <v>0</v>
      </c>
      <c r="I205" s="275">
        <v>0</v>
      </c>
      <c r="J205" s="275">
        <v>0</v>
      </c>
      <c r="K205" s="275">
        <v>0</v>
      </c>
      <c r="L205" s="275">
        <v>0</v>
      </c>
      <c r="M205" s="275">
        <v>0</v>
      </c>
      <c r="N205" s="275">
        <v>0</v>
      </c>
      <c r="O205" s="275">
        <v>0</v>
      </c>
      <c r="P205" s="275">
        <v>0</v>
      </c>
      <c r="Q205" s="275">
        <v>0</v>
      </c>
      <c r="R205" s="275">
        <v>0</v>
      </c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</row>
    <row r="206" spans="1:33">
      <c r="A206" s="1" t="s">
        <v>150</v>
      </c>
      <c r="B206" t="s">
        <v>825</v>
      </c>
      <c r="C206" s="275">
        <v>30.720270668440001</v>
      </c>
      <c r="D206" s="277">
        <v>30.65216302828</v>
      </c>
      <c r="E206" s="276">
        <v>30.842953267470005</v>
      </c>
      <c r="F206" s="277">
        <v>32.714852266883781</v>
      </c>
      <c r="G206" s="275">
        <v>32.829365507126177</v>
      </c>
      <c r="H206" s="275">
        <v>33.271832358378639</v>
      </c>
      <c r="I206" s="275">
        <v>33.280968885606654</v>
      </c>
      <c r="J206" s="275">
        <v>33.275246162795526</v>
      </c>
      <c r="K206" s="275">
        <v>33.097797437935057</v>
      </c>
      <c r="L206" s="275">
        <v>32.860353545427181</v>
      </c>
      <c r="M206" s="275">
        <v>32.662577915820556</v>
      </c>
      <c r="N206" s="275">
        <v>32.369589344099282</v>
      </c>
      <c r="O206" s="275">
        <v>31.937320735729074</v>
      </c>
      <c r="P206" s="275">
        <v>31.353472031419042</v>
      </c>
      <c r="Q206" s="275">
        <v>30.678190274255901</v>
      </c>
      <c r="R206" s="275">
        <v>29.947938907219203</v>
      </c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311"/>
      <c r="AD206" s="311"/>
      <c r="AE206" s="311"/>
      <c r="AF206" s="311"/>
      <c r="AG206" s="311"/>
    </row>
    <row r="207" spans="1:33">
      <c r="B207" t="s">
        <v>826</v>
      </c>
      <c r="C207" s="275">
        <v>14.724051556160001</v>
      </c>
      <c r="D207" s="277">
        <v>15.272149496369998</v>
      </c>
      <c r="E207" s="276">
        <v>15.764032321249998</v>
      </c>
      <c r="F207" s="277">
        <v>15.32151909801876</v>
      </c>
      <c r="G207" s="275">
        <v>15.535993515838552</v>
      </c>
      <c r="H207" s="275">
        <v>15.572463273955789</v>
      </c>
      <c r="I207" s="275">
        <v>15.84240458137417</v>
      </c>
      <c r="J207" s="275">
        <v>15.836457576442337</v>
      </c>
      <c r="K207" s="275">
        <v>15.690760958562219</v>
      </c>
      <c r="L207" s="275">
        <v>15.672949709714466</v>
      </c>
      <c r="M207" s="275">
        <v>15.570229933224564</v>
      </c>
      <c r="N207" s="275">
        <v>15.429501348673565</v>
      </c>
      <c r="O207" s="275">
        <v>15.249989279267274</v>
      </c>
      <c r="P207" s="275">
        <v>15.048445912075517</v>
      </c>
      <c r="Q207" s="275">
        <v>14.735454184365066</v>
      </c>
      <c r="R207" s="275">
        <v>14.470561101965117</v>
      </c>
      <c r="S207" s="311"/>
      <c r="T207" s="311"/>
      <c r="U207" s="311"/>
      <c r="V207" s="311"/>
      <c r="W207" s="311"/>
      <c r="X207" s="311"/>
      <c r="Y207" s="311"/>
      <c r="Z207" s="311"/>
      <c r="AA207" s="311"/>
      <c r="AB207" s="311"/>
      <c r="AC207" s="311"/>
      <c r="AD207" s="311"/>
      <c r="AE207" s="311"/>
      <c r="AF207" s="311"/>
      <c r="AG207" s="311"/>
    </row>
    <row r="208" spans="1:33">
      <c r="B208" t="s">
        <v>841</v>
      </c>
      <c r="C208" s="275">
        <v>0.18187446162000004</v>
      </c>
      <c r="D208" s="277">
        <v>0.25492426027999998</v>
      </c>
      <c r="E208" s="276">
        <v>0.48247279512999997</v>
      </c>
      <c r="F208" s="277">
        <v>0.83668706971245788</v>
      </c>
      <c r="G208" s="275">
        <v>1.0461509846871431</v>
      </c>
      <c r="H208" s="275">
        <v>1.1936630387536966</v>
      </c>
      <c r="I208" s="275">
        <v>1.4219465231446604</v>
      </c>
      <c r="J208" s="275">
        <v>1.8076296105619907</v>
      </c>
      <c r="K208" s="275">
        <v>2.3416157205187784</v>
      </c>
      <c r="L208" s="275">
        <v>2.9103749533358969</v>
      </c>
      <c r="M208" s="275">
        <v>3.503232353817753</v>
      </c>
      <c r="N208" s="275">
        <v>4.2487544448820334</v>
      </c>
      <c r="O208" s="275">
        <v>5.0589561204261031</v>
      </c>
      <c r="P208" s="275">
        <v>5.9695518405587853</v>
      </c>
      <c r="Q208" s="275">
        <v>7.1444814897578013</v>
      </c>
      <c r="R208" s="275">
        <v>8.2758771685779546</v>
      </c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311"/>
      <c r="AD208" s="311"/>
      <c r="AE208" s="311"/>
      <c r="AF208" s="311"/>
      <c r="AG208" s="311"/>
    </row>
    <row r="209" spans="1:33">
      <c r="B209" t="s">
        <v>842</v>
      </c>
      <c r="C209" s="275">
        <v>7.336651017000001E-2</v>
      </c>
      <c r="D209" s="277">
        <v>0.10394543818</v>
      </c>
      <c r="E209" s="276">
        <v>0.20696498483999995</v>
      </c>
      <c r="F209" s="277">
        <v>0.29246918841501757</v>
      </c>
      <c r="G209" s="275">
        <v>0.35438053515811302</v>
      </c>
      <c r="H209" s="275">
        <v>0.42249880268186213</v>
      </c>
      <c r="I209" s="275">
        <v>0.52925793659451725</v>
      </c>
      <c r="J209" s="275">
        <v>0.69007316156014098</v>
      </c>
      <c r="K209" s="275">
        <v>0.90227092445394153</v>
      </c>
      <c r="L209" s="275">
        <v>1.14667134324245</v>
      </c>
      <c r="M209" s="275">
        <v>1.3834136069871306</v>
      </c>
      <c r="N209" s="275">
        <v>1.6293882720951345</v>
      </c>
      <c r="O209" s="275">
        <v>1.8752089110975372</v>
      </c>
      <c r="P209" s="275">
        <v>2.1695265395666539</v>
      </c>
      <c r="Q209" s="275">
        <v>2.4716979352312478</v>
      </c>
      <c r="R209" s="275">
        <v>2.7825181957177199</v>
      </c>
      <c r="S209" s="311"/>
      <c r="T209" s="311"/>
      <c r="U209" s="311"/>
      <c r="V209" s="311"/>
      <c r="W209" s="311"/>
      <c r="X209" s="311"/>
      <c r="Y209" s="311"/>
      <c r="Z209" s="311"/>
      <c r="AA209" s="311"/>
      <c r="AB209" s="311"/>
      <c r="AC209" s="311"/>
      <c r="AD209" s="311"/>
      <c r="AE209" s="311"/>
      <c r="AF209" s="311"/>
      <c r="AG209" s="311"/>
    </row>
    <row r="210" spans="1:33">
      <c r="B210" t="s">
        <v>843</v>
      </c>
      <c r="C210" s="275">
        <v>0</v>
      </c>
      <c r="D210" s="277">
        <v>0</v>
      </c>
      <c r="E210" s="276">
        <v>0</v>
      </c>
      <c r="F210" s="277">
        <v>0</v>
      </c>
      <c r="G210" s="275">
        <v>0</v>
      </c>
      <c r="H210" s="275">
        <v>0</v>
      </c>
      <c r="I210" s="275">
        <v>0</v>
      </c>
      <c r="J210" s="275">
        <v>0</v>
      </c>
      <c r="K210" s="275">
        <v>0</v>
      </c>
      <c r="L210" s="275">
        <v>0</v>
      </c>
      <c r="M210" s="275">
        <v>0</v>
      </c>
      <c r="N210" s="275">
        <v>0</v>
      </c>
      <c r="O210" s="275">
        <v>0</v>
      </c>
      <c r="P210" s="275">
        <v>0</v>
      </c>
      <c r="Q210" s="275">
        <v>0</v>
      </c>
      <c r="R210" s="275">
        <v>0</v>
      </c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311"/>
      <c r="AD210" s="311"/>
      <c r="AE210" s="311"/>
      <c r="AF210" s="311"/>
      <c r="AG210" s="311"/>
    </row>
    <row r="211" spans="1:33">
      <c r="C211" s="275">
        <v>45.699563196389995</v>
      </c>
      <c r="D211" s="277">
        <v>46.283182223109996</v>
      </c>
      <c r="E211" s="276">
        <v>47.29642336869</v>
      </c>
      <c r="F211" s="277">
        <v>49.165527623030023</v>
      </c>
      <c r="G211" s="275">
        <v>49.765890542809984</v>
      </c>
      <c r="H211" s="275">
        <v>50.460457473769992</v>
      </c>
      <c r="I211" s="275">
        <v>51.074577926719989</v>
      </c>
      <c r="J211" s="275">
        <v>51.609406511359992</v>
      </c>
      <c r="K211" s="275">
        <v>52.032445041469991</v>
      </c>
      <c r="L211" s="275">
        <v>52.590349551720003</v>
      </c>
      <c r="M211" s="275">
        <v>53.119453809850015</v>
      </c>
      <c r="N211" s="275">
        <v>53.677233409750031</v>
      </c>
      <c r="O211" s="275">
        <v>54.12147504651999</v>
      </c>
      <c r="P211" s="275">
        <v>54.54099632362</v>
      </c>
      <c r="Q211" s="275">
        <v>55.029823883610028</v>
      </c>
      <c r="R211" s="275">
        <v>55.476895373479998</v>
      </c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1"/>
      <c r="AG211" s="311"/>
    </row>
    <row r="212" spans="1:33">
      <c r="A212" s="262" t="s">
        <v>849</v>
      </c>
      <c r="B212" s="262"/>
      <c r="C212" s="262"/>
      <c r="D212" s="263"/>
      <c r="E212" s="264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2"/>
      <c r="AE212" s="272"/>
      <c r="AF212" s="272"/>
      <c r="AG212" s="272"/>
    </row>
    <row r="213" spans="1:33">
      <c r="B213" t="s">
        <v>840</v>
      </c>
      <c r="C213" s="33">
        <v>2.772358230642296E-2</v>
      </c>
      <c r="D213" s="289">
        <v>5.5053155715125549E-2</v>
      </c>
      <c r="E213" s="290">
        <v>0.11407707363558835</v>
      </c>
      <c r="F213" s="289">
        <v>8.4131841806246402E-2</v>
      </c>
      <c r="G213" s="33">
        <v>0.11356418540558058</v>
      </c>
      <c r="H213" s="33">
        <v>7.7890433710317036E-2</v>
      </c>
      <c r="I213" s="33">
        <v>9.3105818722075143E-2</v>
      </c>
      <c r="J213" s="33">
        <v>0.18810321027623125</v>
      </c>
      <c r="K213" s="33">
        <v>0.22759603623690886</v>
      </c>
      <c r="L213" s="33">
        <v>0.27060254096819869</v>
      </c>
      <c r="M213" s="33">
        <v>0.25146443343617375</v>
      </c>
      <c r="N213" s="33">
        <v>0.27343827148576955</v>
      </c>
      <c r="O213" s="33">
        <v>0.32800844420609332</v>
      </c>
      <c r="P213" s="33">
        <v>0.29252729401816457</v>
      </c>
      <c r="Q213" s="33">
        <v>0.42979221826069175</v>
      </c>
      <c r="R213" s="33">
        <v>0.41950774229813131</v>
      </c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</row>
    <row r="214" spans="1:33">
      <c r="B214" t="s">
        <v>844</v>
      </c>
      <c r="C214" s="33">
        <v>2.1046396006833158E-3</v>
      </c>
      <c r="D214" s="289">
        <v>3.1039839585313882E-3</v>
      </c>
      <c r="E214" s="290">
        <v>9.9657050007962572E-3</v>
      </c>
      <c r="F214" s="289">
        <v>1.4539332660101932E-2</v>
      </c>
      <c r="G214" s="33">
        <v>1.8253812276333166E-2</v>
      </c>
      <c r="H214" s="33">
        <v>7.0483671917912938E-2</v>
      </c>
      <c r="I214" s="33">
        <v>0.12186796131563449</v>
      </c>
      <c r="J214" s="33">
        <v>0.17026108478860394</v>
      </c>
      <c r="K214" s="33">
        <v>0.24523197890198822</v>
      </c>
      <c r="L214" s="33">
        <v>0.26399780723966282</v>
      </c>
      <c r="M214" s="33">
        <v>0.24411001893353204</v>
      </c>
      <c r="N214" s="33">
        <v>0.3595052475553342</v>
      </c>
      <c r="O214" s="33">
        <v>0.3921150384171822</v>
      </c>
      <c r="P214" s="33">
        <v>0.25692666084475285</v>
      </c>
      <c r="Q214" s="33">
        <v>0.48087931429241793</v>
      </c>
      <c r="R214" s="33">
        <v>0.29822396911522875</v>
      </c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</row>
    <row r="215" spans="1:33">
      <c r="B215" t="s">
        <v>845</v>
      </c>
      <c r="C215" s="33">
        <v>2.2022020711232045E-2</v>
      </c>
      <c r="D215" s="289">
        <v>3.3045920098474582E-2</v>
      </c>
      <c r="E215" s="290">
        <v>5.3749172819656167E-2</v>
      </c>
      <c r="F215" s="289">
        <v>5.3749172819656153E-2</v>
      </c>
      <c r="G215" s="33">
        <v>3.7463295723371523E-2</v>
      </c>
      <c r="H215" s="33">
        <v>5.6091615307405071E-2</v>
      </c>
      <c r="I215" s="33">
        <v>8.3193277372579186E-2</v>
      </c>
      <c r="J215" s="33">
        <v>0.11857052548711476</v>
      </c>
      <c r="K215" s="33">
        <v>0.16442652868281649</v>
      </c>
      <c r="L215" s="33">
        <v>0.21909050798523885</v>
      </c>
      <c r="M215" s="33">
        <v>0.28195408418302476</v>
      </c>
      <c r="N215" s="33">
        <v>0.35424719681047839</v>
      </c>
      <c r="O215" s="33">
        <v>0.43738427633205007</v>
      </c>
      <c r="P215" s="33">
        <v>0.53299191778185762</v>
      </c>
      <c r="Q215" s="33">
        <v>0.64294070544913651</v>
      </c>
      <c r="R215" s="33">
        <v>0.76938181126650684</v>
      </c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</row>
    <row r="216" spans="1:33">
      <c r="B216" t="s">
        <v>846</v>
      </c>
      <c r="C216" s="33">
        <v>1.0830764844161455E-3</v>
      </c>
      <c r="D216" s="289">
        <v>5.2305662588839029E-3</v>
      </c>
      <c r="E216" s="290">
        <v>4.6030878951389322E-3</v>
      </c>
      <c r="F216" s="289">
        <v>4.6030878951389322E-3</v>
      </c>
      <c r="G216" s="33">
        <v>2.6293431324781694E-4</v>
      </c>
      <c r="H216" s="33">
        <v>7.4399430597003066E-4</v>
      </c>
      <c r="I216" s="33">
        <v>1.5531853849433692E-3</v>
      </c>
      <c r="J216" s="33">
        <v>3.4017927168988292E-3</v>
      </c>
      <c r="K216" s="33">
        <v>6.7663310912450354E-3</v>
      </c>
      <c r="L216" s="33">
        <v>1.2537513460364873E-2</v>
      </c>
      <c r="M216" s="33">
        <v>1.8982400151109306E-2</v>
      </c>
      <c r="N216" s="33">
        <v>2.9833137537852744E-2</v>
      </c>
      <c r="O216" s="33">
        <v>4.6790328235760605E-2</v>
      </c>
      <c r="P216" s="33">
        <v>6.7275794728054936E-2</v>
      </c>
      <c r="Q216" s="33">
        <v>8.8750341671895466E-2</v>
      </c>
      <c r="R216" s="33">
        <v>0.11142200724965978</v>
      </c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</row>
    <row r="217" spans="1:33">
      <c r="B217" t="s">
        <v>847</v>
      </c>
      <c r="C217" s="33">
        <v>5.3628746712778451E-3</v>
      </c>
      <c r="D217" s="289">
        <v>4.9899665810840804E-3</v>
      </c>
      <c r="E217" s="290">
        <v>1.9727519550595428E-3</v>
      </c>
      <c r="F217" s="289">
        <v>1.9727519550595428E-3</v>
      </c>
      <c r="G217" s="33">
        <v>3.6635245251532113E-4</v>
      </c>
      <c r="H217" s="33">
        <v>7.9759774245297393E-4</v>
      </c>
      <c r="I217" s="33">
        <v>1.2807604937850761E-3</v>
      </c>
      <c r="J217" s="33">
        <v>2.4133519495709512E-3</v>
      </c>
      <c r="K217" s="33">
        <v>4.273933222111866E-3</v>
      </c>
      <c r="L217" s="33">
        <v>7.172871522569531E-3</v>
      </c>
      <c r="M217" s="33">
        <v>9.8281027418595911E-3</v>
      </c>
      <c r="N217" s="33">
        <v>1.4523298519842378E-2</v>
      </c>
      <c r="O217" s="33">
        <v>2.1810301688015506E-2</v>
      </c>
      <c r="P217" s="33">
        <v>3.117783410026001E-2</v>
      </c>
      <c r="Q217" s="33">
        <v>4.2623998604871587E-2</v>
      </c>
      <c r="R217" s="33">
        <v>5.635475948717391E-2</v>
      </c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</row>
    <row r="218" spans="1:33">
      <c r="B218" t="s">
        <v>848</v>
      </c>
      <c r="C218" s="33">
        <v>7.2463768115942004E-2</v>
      </c>
      <c r="D218" s="289">
        <v>7.326007326007325E-2</v>
      </c>
      <c r="E218" s="290">
        <v>0.14623613973845623</v>
      </c>
      <c r="F218" s="289">
        <v>0.37849353814659253</v>
      </c>
      <c r="G218" s="33">
        <v>0.40438375338115207</v>
      </c>
      <c r="H218" s="33">
        <v>0.46102413469765935</v>
      </c>
      <c r="I218" s="33">
        <v>0.53367257813721936</v>
      </c>
      <c r="J218" s="33">
        <v>0.63662111291555123</v>
      </c>
      <c r="K218" s="33">
        <v>0.72558505131935613</v>
      </c>
      <c r="L218" s="33">
        <v>0.78840339429654271</v>
      </c>
      <c r="M218" s="33">
        <v>0.82587250544464064</v>
      </c>
      <c r="N218" s="33">
        <v>0.85494070261085109</v>
      </c>
      <c r="O218" s="33">
        <v>0.88022377921547224</v>
      </c>
      <c r="P218" s="33">
        <v>0.89970166642310911</v>
      </c>
      <c r="Q218" s="33">
        <v>0.91345484271515065</v>
      </c>
      <c r="R218" s="33">
        <v>0.92298061689574407</v>
      </c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</row>
    <row r="219" spans="1:33">
      <c r="B219" t="s">
        <v>850</v>
      </c>
      <c r="C219" s="33">
        <v>2.8035092878498261E-2</v>
      </c>
      <c r="D219" s="289">
        <v>8.1562708102108764E-2</v>
      </c>
      <c r="E219" s="290">
        <v>0.19691649998712346</v>
      </c>
      <c r="F219" s="289">
        <v>0.14522591874050353</v>
      </c>
      <c r="G219" s="33">
        <v>0.11482629265642304</v>
      </c>
      <c r="H219" s="33">
        <v>5.6254371956088622E-2</v>
      </c>
      <c r="I219" s="33">
        <v>6.6374691742296724E-2</v>
      </c>
      <c r="J219" s="33">
        <v>0.15112211777443707</v>
      </c>
      <c r="K219" s="33">
        <v>0.14075374077210107</v>
      </c>
      <c r="L219" s="33">
        <v>0.169443406297976</v>
      </c>
      <c r="M219" s="33">
        <v>0.2267651763596302</v>
      </c>
      <c r="N219" s="33">
        <v>0.34299301609592092</v>
      </c>
      <c r="O219" s="33">
        <v>0.49044522184405837</v>
      </c>
      <c r="P219" s="33">
        <v>0.47388348095986133</v>
      </c>
      <c r="Q219" s="33">
        <v>0.71715467910728004</v>
      </c>
      <c r="R219" s="33">
        <v>0.66842792982190602</v>
      </c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</row>
    <row r="220" spans="1:33">
      <c r="B220" t="s">
        <v>851</v>
      </c>
      <c r="C220" s="33">
        <v>2.7499352903899536E-2</v>
      </c>
      <c r="D220" s="289">
        <v>3.1618921819532735E-2</v>
      </c>
      <c r="E220" s="290">
        <v>5.1919633976526755E-2</v>
      </c>
      <c r="F220" s="289">
        <v>3.8290730057688467E-2</v>
      </c>
      <c r="G220" s="33">
        <v>0.11261718035324476</v>
      </c>
      <c r="H220" s="33">
        <v>9.412475910558539E-2</v>
      </c>
      <c r="I220" s="33">
        <v>0.11316315718327397</v>
      </c>
      <c r="J220" s="33">
        <v>0.21585147130295484</v>
      </c>
      <c r="K220" s="33">
        <v>0.2927569744271592</v>
      </c>
      <c r="L220" s="33">
        <v>0.34650592521599077</v>
      </c>
      <c r="M220" s="33">
        <v>0.26999718588238208</v>
      </c>
      <c r="N220" s="33">
        <v>0.22124881253465964</v>
      </c>
      <c r="O220" s="33">
        <v>0.20612621192700536</v>
      </c>
      <c r="P220" s="33">
        <v>0.15644913965251558</v>
      </c>
      <c r="Q220" s="33">
        <v>0.21417369448490201</v>
      </c>
      <c r="R220" s="33">
        <v>0.23273385675390082</v>
      </c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</row>
    <row r="221" spans="1:33">
      <c r="C221" s="33"/>
      <c r="D221" s="289"/>
      <c r="E221" s="290"/>
      <c r="F221" s="289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</row>
    <row r="223" spans="1:33">
      <c r="A223" s="262" t="s">
        <v>852</v>
      </c>
      <c r="B223" s="262"/>
      <c r="C223" s="262"/>
      <c r="D223" s="263"/>
      <c r="E223" s="264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72"/>
      <c r="T223" s="272"/>
      <c r="U223" s="272"/>
      <c r="V223" s="272"/>
      <c r="W223" s="272"/>
      <c r="X223" s="272"/>
      <c r="Y223" s="272"/>
      <c r="Z223" s="272"/>
      <c r="AA223" s="272"/>
      <c r="AB223" s="272"/>
      <c r="AC223" s="272"/>
      <c r="AD223" s="272"/>
      <c r="AE223" s="272"/>
      <c r="AF223" s="272"/>
      <c r="AG223" s="272"/>
    </row>
    <row r="224" spans="1:33">
      <c r="B224" t="s">
        <v>840</v>
      </c>
      <c r="C224" s="33">
        <v>6.9226068942905266E-3</v>
      </c>
      <c r="D224" s="289">
        <v>1.0585737907523339E-2</v>
      </c>
      <c r="E224" s="290">
        <v>1.8625655371711028E-2</v>
      </c>
      <c r="F224" s="289">
        <v>2.3828774282939967E-2</v>
      </c>
      <c r="G224" s="33">
        <v>2.9991535195581256E-2</v>
      </c>
      <c r="H224" s="33">
        <v>3.4067155189906162E-2</v>
      </c>
      <c r="I224" s="33">
        <v>3.8898693415322504E-2</v>
      </c>
      <c r="J224" s="33">
        <v>4.8974310701512945E-2</v>
      </c>
      <c r="K224" s="33">
        <v>6.091658362834694E-2</v>
      </c>
      <c r="L224" s="33">
        <v>7.5231457443352245E-2</v>
      </c>
      <c r="M224" s="33">
        <v>8.816825189038166E-2</v>
      </c>
      <c r="N224" s="33">
        <v>0.10211322574546045</v>
      </c>
      <c r="O224" s="33">
        <v>0.11859360501205614</v>
      </c>
      <c r="P224" s="33">
        <v>0.13277940032391253</v>
      </c>
      <c r="Q224" s="33">
        <v>0.15433752392766334</v>
      </c>
      <c r="R224" s="33">
        <v>0.17476496051214011</v>
      </c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</row>
    <row r="225" spans="1:33">
      <c r="B225" t="s">
        <v>844</v>
      </c>
      <c r="C225" s="33">
        <v>1.2625651628797045E-3</v>
      </c>
      <c r="D225" s="289">
        <v>1.4077740410935945E-3</v>
      </c>
      <c r="E225" s="290">
        <v>1.9665512027196587E-3</v>
      </c>
      <c r="F225" s="289">
        <v>2.9889005268726836E-3</v>
      </c>
      <c r="G225" s="33">
        <v>4.0254767105898379E-3</v>
      </c>
      <c r="H225" s="33">
        <v>7.9342910656011491E-3</v>
      </c>
      <c r="I225" s="33">
        <v>1.4186104149892213E-2</v>
      </c>
      <c r="J225" s="33">
        <v>2.2342542061942021E-2</v>
      </c>
      <c r="K225" s="33">
        <v>3.3428334764889711E-2</v>
      </c>
      <c r="L225" s="33">
        <v>4.5517138790615884E-2</v>
      </c>
      <c r="M225" s="33">
        <v>5.6102469242021148E-2</v>
      </c>
      <c r="N225" s="33">
        <v>7.1518424757632565E-2</v>
      </c>
      <c r="O225" s="33">
        <v>8.7567457562999537E-2</v>
      </c>
      <c r="P225" s="33">
        <v>9.7312426815795147E-2</v>
      </c>
      <c r="Q225" s="33">
        <v>0.11620533299775955</v>
      </c>
      <c r="R225" s="33">
        <v>0.12711059655355095</v>
      </c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</row>
    <row r="226" spans="1:33">
      <c r="B226" t="s">
        <v>845</v>
      </c>
      <c r="C226" s="33">
        <v>4.7972763850201178E-3</v>
      </c>
      <c r="D226" s="289">
        <v>7.1589197664582932E-3</v>
      </c>
      <c r="E226" s="290">
        <v>1.0214889142099901E-2</v>
      </c>
      <c r="F226" s="289">
        <v>1.251341954810873E-2</v>
      </c>
      <c r="G226" s="33">
        <v>1.4444485824229535E-2</v>
      </c>
      <c r="H226" s="33">
        <v>1.7380054982731975E-2</v>
      </c>
      <c r="I226" s="33">
        <v>2.1764230775165823E-2</v>
      </c>
      <c r="J226" s="33">
        <v>2.8014958325867732E-2</v>
      </c>
      <c r="K226" s="33">
        <v>3.6644114220131377E-2</v>
      </c>
      <c r="L226" s="33">
        <v>4.8309755947191738E-2</v>
      </c>
      <c r="M226" s="33">
        <v>6.3162468866016688E-2</v>
      </c>
      <c r="N226" s="33">
        <v>8.1708287072412955E-2</v>
      </c>
      <c r="O226" s="33">
        <v>0.10446156771920799</v>
      </c>
      <c r="P226" s="33">
        <v>0.13186360802503888</v>
      </c>
      <c r="Q226" s="33">
        <v>0.16544743722871783</v>
      </c>
      <c r="R226" s="33">
        <v>0.20555064891056576</v>
      </c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</row>
    <row r="227" spans="1:33">
      <c r="B227" t="s">
        <v>846</v>
      </c>
      <c r="C227" s="33">
        <v>6.4346158048733117E-4</v>
      </c>
      <c r="D227" s="289">
        <v>9.1618116895320436E-4</v>
      </c>
      <c r="E227" s="290">
        <v>1.12261444430585E-3</v>
      </c>
      <c r="F227" s="289">
        <v>1.304426787477123E-3</v>
      </c>
      <c r="G227" s="33">
        <v>1.2890518154376857E-3</v>
      </c>
      <c r="H227" s="33">
        <v>1.2951621093618615E-3</v>
      </c>
      <c r="I227" s="33">
        <v>1.3351010302413205E-3</v>
      </c>
      <c r="J227" s="33">
        <v>1.4446882248853815E-3</v>
      </c>
      <c r="K227" s="33">
        <v>1.6751958340750479E-3</v>
      </c>
      <c r="L227" s="33">
        <v>2.113316865097309E-3</v>
      </c>
      <c r="M227" s="33">
        <v>2.7804011989207341E-3</v>
      </c>
      <c r="N227" s="33">
        <v>3.8428700494109974E-3</v>
      </c>
      <c r="O227" s="33">
        <v>5.4989373810142329E-3</v>
      </c>
      <c r="P227" s="33">
        <v>7.8555551216325323E-3</v>
      </c>
      <c r="Q227" s="33">
        <v>1.0737214310378444E-2</v>
      </c>
      <c r="R227" s="33">
        <v>1.433780665163434E-2</v>
      </c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</row>
    <row r="228" spans="1:33">
      <c r="B228" t="s">
        <v>847</v>
      </c>
      <c r="C228" s="33">
        <v>6.0849458439819878E-4</v>
      </c>
      <c r="D228" s="289">
        <v>8.0494048718693096E-4</v>
      </c>
      <c r="E228" s="290">
        <v>9.7156882798118233E-4</v>
      </c>
      <c r="F228" s="289">
        <v>1.0295791535622901E-3</v>
      </c>
      <c r="G228" s="33">
        <v>1.0188161885775818E-3</v>
      </c>
      <c r="H228" s="33">
        <v>1.0263247392617656E-3</v>
      </c>
      <c r="I228" s="33">
        <v>1.0515736905915866E-3</v>
      </c>
      <c r="J228" s="33">
        <v>1.1121705998050919E-3</v>
      </c>
      <c r="K228" s="33">
        <v>1.2257260515918097E-3</v>
      </c>
      <c r="L228" s="33">
        <v>1.4204929400687722E-3</v>
      </c>
      <c r="M228" s="33">
        <v>1.6864013857605842E-3</v>
      </c>
      <c r="N228" s="33">
        <v>2.0843052857681009E-3</v>
      </c>
      <c r="O228" s="33">
        <v>2.6754781356376723E-3</v>
      </c>
      <c r="P228" s="33">
        <v>3.5084856167652786E-3</v>
      </c>
      <c r="Q228" s="33">
        <v>4.5358232636025326E-3</v>
      </c>
      <c r="R228" s="33">
        <v>5.8876648699641675E-3</v>
      </c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</row>
    <row r="229" spans="1:33">
      <c r="B229" t="s">
        <v>848</v>
      </c>
      <c r="C229" s="33">
        <v>9.0394448502556617E-3</v>
      </c>
      <c r="D229" s="289">
        <v>1.2974141814577889E-2</v>
      </c>
      <c r="E229" s="290">
        <v>2.2159442041140637E-2</v>
      </c>
      <c r="F229" s="289">
        <v>5.7010805398263399E-2</v>
      </c>
      <c r="G229" s="33">
        <v>7.563223827926234E-2</v>
      </c>
      <c r="H229" s="33">
        <v>9.4834903250711949E-2</v>
      </c>
      <c r="I229" s="33">
        <v>0.11549877634243755</v>
      </c>
      <c r="J229" s="33">
        <v>0.13829065245724945</v>
      </c>
      <c r="K229" s="33">
        <v>0.16247349977369316</v>
      </c>
      <c r="L229" s="33">
        <v>0.18762534040512899</v>
      </c>
      <c r="M229" s="33">
        <v>0.21286486385907927</v>
      </c>
      <c r="N229" s="33">
        <v>0.238033620223318</v>
      </c>
      <c r="O229" s="33">
        <v>0.26307459893925672</v>
      </c>
      <c r="P229" s="33">
        <v>0.28789149798846198</v>
      </c>
      <c r="Q229" s="33">
        <v>0.31208927112046203</v>
      </c>
      <c r="R229" s="33">
        <v>0.33611433157096071</v>
      </c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</row>
    <row r="230" spans="1:33">
      <c r="B230" t="s">
        <v>853</v>
      </c>
      <c r="C230" s="33">
        <v>6.2691914022517932E-4</v>
      </c>
      <c r="D230" s="289">
        <v>8.6379398202811384E-4</v>
      </c>
      <c r="E230" s="290">
        <v>1.0516131746098514E-3</v>
      </c>
      <c r="F230" s="289">
        <v>1.174750871816713E-3</v>
      </c>
      <c r="G230" s="33">
        <v>1.1612042769999296E-3</v>
      </c>
      <c r="H230" s="33">
        <v>1.1677250745440713E-3</v>
      </c>
      <c r="I230" s="33">
        <v>1.2005209374870442E-3</v>
      </c>
      <c r="J230" s="33">
        <v>1.2867257366262176E-3</v>
      </c>
      <c r="K230" s="33">
        <v>1.4615886143697701E-3</v>
      </c>
      <c r="L230" s="33">
        <v>1.7840243881196681E-3</v>
      </c>
      <c r="M230" s="33">
        <v>2.260501815849822E-3</v>
      </c>
      <c r="N230" s="33">
        <v>3.0073971621497955E-3</v>
      </c>
      <c r="O230" s="33">
        <v>4.1581122722210593E-3</v>
      </c>
      <c r="P230" s="33">
        <v>5.7922433678071292E-3</v>
      </c>
      <c r="Q230" s="33">
        <v>7.7955200085617488E-3</v>
      </c>
      <c r="R230" s="33">
        <v>1.0331889136212696E-2</v>
      </c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</row>
    <row r="231" spans="1:33">
      <c r="C231" s="33"/>
      <c r="D231" s="289"/>
      <c r="E231" s="290"/>
      <c r="F231" s="289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</row>
    <row r="232" spans="1:33">
      <c r="A232" s="262" t="s">
        <v>854</v>
      </c>
      <c r="B232" s="262"/>
      <c r="C232" s="262"/>
      <c r="D232" s="263"/>
      <c r="E232" s="264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72"/>
      <c r="T232" s="272"/>
      <c r="U232" s="272"/>
      <c r="V232" s="272"/>
      <c r="W232" s="272"/>
      <c r="X232" s="272"/>
      <c r="Y232" s="272"/>
      <c r="Z232" s="272"/>
      <c r="AA232" s="272"/>
      <c r="AB232" s="272"/>
      <c r="AC232" s="272"/>
      <c r="AD232" s="272"/>
      <c r="AE232" s="272"/>
      <c r="AF232" s="272"/>
      <c r="AG232" s="272"/>
    </row>
    <row r="233" spans="1:33">
      <c r="B233" t="s">
        <v>840</v>
      </c>
      <c r="C233" s="33">
        <v>7.4129643470493547E-3</v>
      </c>
      <c r="D233" s="289">
        <v>1.0411405454971124E-2</v>
      </c>
      <c r="E233" s="290">
        <v>1.985232576010116E-2</v>
      </c>
      <c r="F233" s="289">
        <v>3.0341285591559627E-2</v>
      </c>
      <c r="G233" s="33">
        <v>3.719546718129383E-2</v>
      </c>
      <c r="H233" s="33">
        <v>4.0717704716414373E-2</v>
      </c>
      <c r="I233" s="33">
        <v>4.6780581863854268E-2</v>
      </c>
      <c r="J233" s="33">
        <v>5.8010981907113152E-2</v>
      </c>
      <c r="K233" s="33">
        <v>7.2774507807883956E-2</v>
      </c>
      <c r="L233" s="33">
        <v>8.8518811841688097E-2</v>
      </c>
      <c r="M233" s="33">
        <v>0.10368924462182227</v>
      </c>
      <c r="N233" s="33">
        <v>0.12208776896801209</v>
      </c>
      <c r="O233" s="33">
        <v>0.14140129403250598</v>
      </c>
      <c r="P233" s="33">
        <v>0.16445778629094071</v>
      </c>
      <c r="Q233" s="33">
        <v>0.19172441356179201</v>
      </c>
      <c r="R233" s="33">
        <v>0.21927046570484188</v>
      </c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</row>
    <row r="234" spans="1:33">
      <c r="B234" t="s">
        <v>844</v>
      </c>
      <c r="C234" s="33">
        <v>7.9365389946143661E-4</v>
      </c>
      <c r="D234" s="289">
        <v>8.9778204099129355E-4</v>
      </c>
      <c r="E234" s="290">
        <v>1.2493319802057284E-3</v>
      </c>
      <c r="F234" s="289">
        <v>3.6482327802243972E-3</v>
      </c>
      <c r="G234" s="33">
        <v>4.8152120942488641E-3</v>
      </c>
      <c r="H234" s="33">
        <v>1.044692063628988E-2</v>
      </c>
      <c r="I234" s="33">
        <v>1.8369158762266514E-2</v>
      </c>
      <c r="J234" s="33">
        <v>2.7750284430289693E-2</v>
      </c>
      <c r="K234" s="33">
        <v>4.2769060507442794E-2</v>
      </c>
      <c r="L234" s="33">
        <v>5.831603351253159E-2</v>
      </c>
      <c r="M234" s="33">
        <v>7.5535125599391351E-2</v>
      </c>
      <c r="N234" s="33">
        <v>9.4336363351526037E-2</v>
      </c>
      <c r="O234" s="33">
        <v>0.11488654993160211</v>
      </c>
      <c r="P234" s="33">
        <v>0.13406188285149778</v>
      </c>
      <c r="Q234" s="33">
        <v>0.1592832671550416</v>
      </c>
      <c r="R234" s="33">
        <v>0.17837453359012584</v>
      </c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</row>
    <row r="235" spans="1:33">
      <c r="B235" t="s">
        <v>845</v>
      </c>
      <c r="C235" s="33">
        <v>4.2989816067215206E-3</v>
      </c>
      <c r="D235" s="289">
        <v>6.2009529355618017E-3</v>
      </c>
      <c r="E235" s="290">
        <v>9.2825936604307973E-3</v>
      </c>
      <c r="F235" s="289">
        <v>1.45025416677844E-2</v>
      </c>
      <c r="G235" s="33">
        <v>1.646045379941154E-2</v>
      </c>
      <c r="H235" s="33">
        <v>2.0036533229756421E-2</v>
      </c>
      <c r="I235" s="33">
        <v>2.4725460077924182E-2</v>
      </c>
      <c r="J235" s="33">
        <v>3.2239047563754439E-2</v>
      </c>
      <c r="K235" s="33">
        <v>4.1770230804760194E-2</v>
      </c>
      <c r="L235" s="33">
        <v>5.6151531521424727E-2</v>
      </c>
      <c r="M235" s="33">
        <v>7.2895100372998983E-2</v>
      </c>
      <c r="N235" s="33">
        <v>9.5593928315195378E-2</v>
      </c>
      <c r="O235" s="33">
        <v>0.12226235249702137</v>
      </c>
      <c r="P235" s="33">
        <v>0.15611805606228329</v>
      </c>
      <c r="Q235" s="33">
        <v>0.1985124771366808</v>
      </c>
      <c r="R235" s="33">
        <v>0.24677893870497186</v>
      </c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</row>
    <row r="236" spans="1:33">
      <c r="B236" t="s">
        <v>846</v>
      </c>
      <c r="C236" s="33">
        <v>6.4480894339738232E-4</v>
      </c>
      <c r="D236" s="289">
        <v>7.6367450554289736E-4</v>
      </c>
      <c r="E236" s="290">
        <v>1.0422979922192475E-3</v>
      </c>
      <c r="F236" s="289">
        <v>2.5085648741114972E-3</v>
      </c>
      <c r="G236" s="33">
        <v>2.5529865316816919E-3</v>
      </c>
      <c r="H236" s="33">
        <v>2.5499772042133725E-3</v>
      </c>
      <c r="I236" s="33">
        <v>2.4989273101801608E-3</v>
      </c>
      <c r="J236" s="33">
        <v>2.7785785789314768E-3</v>
      </c>
      <c r="K236" s="33">
        <v>3.1704848328532624E-3</v>
      </c>
      <c r="L236" s="33">
        <v>4.3135928484201473E-3</v>
      </c>
      <c r="M236" s="33">
        <v>5.9444634991574468E-3</v>
      </c>
      <c r="N236" s="33">
        <v>8.540541068986893E-3</v>
      </c>
      <c r="O236" s="33">
        <v>1.3220079211225229E-2</v>
      </c>
      <c r="P236" s="33">
        <v>1.868939595746159E-2</v>
      </c>
      <c r="Q236" s="33">
        <v>2.5087849567561892E-2</v>
      </c>
      <c r="R236" s="33">
        <v>3.4336158953368313E-2</v>
      </c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</row>
    <row r="237" spans="1:33">
      <c r="B237" t="s">
        <v>847</v>
      </c>
      <c r="C237" s="33">
        <v>2.1047209682701162E-4</v>
      </c>
      <c r="D237" s="289">
        <v>2.9948993228683823E-4</v>
      </c>
      <c r="E237" s="290">
        <v>3.1757861614196102E-4</v>
      </c>
      <c r="F237" s="289">
        <v>1.9145313357307467E-3</v>
      </c>
      <c r="G237" s="33">
        <v>1.8026671860822494E-3</v>
      </c>
      <c r="H237" s="33">
        <v>1.8710747580610108E-3</v>
      </c>
      <c r="I237" s="33">
        <v>1.8057527642035267E-3</v>
      </c>
      <c r="J237" s="33">
        <v>2.0595787345833935E-3</v>
      </c>
      <c r="K237" s="33">
        <v>2.2464782249913347E-3</v>
      </c>
      <c r="L237" s="33">
        <v>2.6793486029263896E-3</v>
      </c>
      <c r="M237" s="33">
        <v>3.3264527884765216E-3</v>
      </c>
      <c r="N237" s="33">
        <v>4.4975544704732619E-3</v>
      </c>
      <c r="O237" s="33">
        <v>5.6930553585294152E-3</v>
      </c>
      <c r="P237" s="33">
        <v>7.8317250145751582E-3</v>
      </c>
      <c r="Q237" s="33">
        <v>1.0423379424138615E-2</v>
      </c>
      <c r="R237" s="33">
        <v>1.3520552110558054E-2</v>
      </c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</row>
    <row r="238" spans="1:33">
      <c r="B238" t="s">
        <v>848</v>
      </c>
      <c r="C238" s="33">
        <v>9.5648905982070702E-3</v>
      </c>
      <c r="D238" s="289">
        <v>1.7691167649721767E-2</v>
      </c>
      <c r="E238" s="290">
        <v>3.558744007963463E-2</v>
      </c>
      <c r="F238" s="289">
        <v>8.5063024649914595E-2</v>
      </c>
      <c r="G238" s="33">
        <v>0.10932973166033584</v>
      </c>
      <c r="H238" s="33">
        <v>0.13964970248874281</v>
      </c>
      <c r="I238" s="33">
        <v>0.16810822745319381</v>
      </c>
      <c r="J238" s="33">
        <v>0.19935631339746213</v>
      </c>
      <c r="K238" s="33">
        <v>0.23661931992553706</v>
      </c>
      <c r="L238" s="33">
        <v>0.26960512833795042</v>
      </c>
      <c r="M238" s="33">
        <v>0.30919743739957334</v>
      </c>
      <c r="N238" s="33">
        <v>0.34061130533762191</v>
      </c>
      <c r="O238" s="33">
        <v>0.37352776635306034</v>
      </c>
      <c r="P238" s="33">
        <v>0.41409296299288956</v>
      </c>
      <c r="Q238" s="33">
        <v>0.44731327163252665</v>
      </c>
      <c r="R238" s="33">
        <v>0.49752960952010278</v>
      </c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</row>
    <row r="239" spans="1:33">
      <c r="B239" t="s">
        <v>855</v>
      </c>
      <c r="C239" s="33">
        <v>5.9327775229454163E-3</v>
      </c>
      <c r="D239" s="289">
        <v>8.2330578006652687E-3</v>
      </c>
      <c r="E239" s="290">
        <v>1.5479677753451436E-2</v>
      </c>
      <c r="F239" s="289">
        <v>2.4065385575960892E-2</v>
      </c>
      <c r="G239" s="33">
        <v>2.9502417412219237E-2</v>
      </c>
      <c r="H239" s="33">
        <v>3.349640531395992E-2</v>
      </c>
      <c r="I239" s="33">
        <v>3.9970576129227851E-2</v>
      </c>
      <c r="J239" s="33">
        <v>5.0728914252982517E-2</v>
      </c>
      <c r="K239" s="33">
        <v>6.5492733868676004E-2</v>
      </c>
      <c r="L239" s="33">
        <v>8.1158569850037943E-2</v>
      </c>
      <c r="M239" s="33">
        <v>9.6805468265001221E-2</v>
      </c>
      <c r="N239" s="33">
        <v>0.11532280494998456</v>
      </c>
      <c r="O239" s="33">
        <v>0.1349725543230163</v>
      </c>
      <c r="P239" s="33">
        <v>0.15718428772444579</v>
      </c>
      <c r="Q239" s="33">
        <v>0.18408341956723723</v>
      </c>
      <c r="R239" s="33">
        <v>0.20977904795218211</v>
      </c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</row>
    <row r="240" spans="1:33">
      <c r="B240" t="s">
        <v>856</v>
      </c>
      <c r="C240" s="33">
        <v>1.0633935658272691E-3</v>
      </c>
      <c r="D240" s="289">
        <v>1.695562048646576E-3</v>
      </c>
      <c r="E240" s="290">
        <v>3.135122272274696E-3</v>
      </c>
      <c r="F240" s="289">
        <v>8.8280998473946326E-3</v>
      </c>
      <c r="G240" s="33">
        <v>1.0764649503799351E-2</v>
      </c>
      <c r="H240" s="33">
        <v>1.3307940999609838E-2</v>
      </c>
      <c r="I240" s="33">
        <v>1.5644651388854906E-2</v>
      </c>
      <c r="J240" s="33">
        <v>1.8543175104752525E-2</v>
      </c>
      <c r="K240" s="33">
        <v>2.1951326610300644E-2</v>
      </c>
      <c r="L240" s="33">
        <v>2.5388596525322944E-2</v>
      </c>
      <c r="M240" s="33">
        <v>2.967179204002552E-2</v>
      </c>
      <c r="N240" s="33">
        <v>3.3871743111051053E-2</v>
      </c>
      <c r="O240" s="33">
        <v>3.8758644824715416E-2</v>
      </c>
      <c r="P240" s="33">
        <v>4.5166911063176579E-2</v>
      </c>
      <c r="Q240" s="33">
        <v>5.1623297315477858E-2</v>
      </c>
      <c r="R240" s="33">
        <v>6.0651326509927592E-2</v>
      </c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</row>
    <row r="241" spans="1:33">
      <c r="B241" t="s">
        <v>857</v>
      </c>
      <c r="C241" s="33">
        <v>5.5851949983224914E-3</v>
      </c>
      <c r="D241" s="289">
        <v>7.7537818538503623E-3</v>
      </c>
      <c r="E241" s="290">
        <v>1.4576953834238644E-2</v>
      </c>
      <c r="F241" s="289">
        <v>2.2966422058665326E-2</v>
      </c>
      <c r="G241" s="33">
        <v>2.8142398429311336E-2</v>
      </c>
      <c r="H241" s="33">
        <v>3.2028283577802706E-2</v>
      </c>
      <c r="I241" s="33">
        <v>3.8203046191369341E-2</v>
      </c>
      <c r="J241" s="33">
        <v>4.8396270001135354E-2</v>
      </c>
      <c r="K241" s="33">
        <v>6.2343536660392072E-2</v>
      </c>
      <c r="L241" s="33">
        <v>7.7144311288299017E-2</v>
      </c>
      <c r="M241" s="33">
        <v>9.1993527988775109E-2</v>
      </c>
      <c r="N241" s="33">
        <v>0.10950904775784245</v>
      </c>
      <c r="O241" s="33">
        <v>0.12812224769490105</v>
      </c>
      <c r="P241" s="33">
        <v>0.14922863403213371</v>
      </c>
      <c r="Q241" s="33">
        <v>0.1747448700785886</v>
      </c>
      <c r="R241" s="33">
        <v>0.19933334931323485</v>
      </c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</row>
    <row r="243" spans="1:33">
      <c r="W243" s="609"/>
    </row>
    <row r="244" spans="1:33">
      <c r="A244" s="301"/>
      <c r="B244" s="301"/>
      <c r="C244" s="301"/>
      <c r="D244" s="302"/>
      <c r="E244" s="303"/>
      <c r="F244" s="302"/>
      <c r="G244" s="301"/>
      <c r="H244" s="301"/>
      <c r="I244" s="301"/>
      <c r="J244" s="301"/>
      <c r="K244" s="301"/>
      <c r="L244" s="301"/>
      <c r="M244" s="301"/>
      <c r="N244" s="301"/>
      <c r="O244" s="301"/>
      <c r="P244" s="301"/>
      <c r="Q244" s="301"/>
      <c r="R244" s="301"/>
      <c r="S244" s="610"/>
      <c r="T244" s="610"/>
      <c r="U244" s="610"/>
      <c r="V244" s="610"/>
      <c r="W244" s="610"/>
      <c r="X244" s="610"/>
      <c r="Y244" s="610"/>
      <c r="Z244" s="610"/>
      <c r="AA244" s="610"/>
      <c r="AB244" s="610"/>
      <c r="AC244" s="610"/>
      <c r="AD244" s="610"/>
      <c r="AE244" s="610"/>
      <c r="AF244" s="610"/>
      <c r="AG244" s="610"/>
    </row>
    <row r="245" spans="1:33">
      <c r="A245" s="262" t="s">
        <v>858</v>
      </c>
      <c r="B245" s="262"/>
      <c r="C245" s="262"/>
      <c r="D245" s="263"/>
      <c r="E245" s="264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72"/>
      <c r="T245" s="272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</row>
    <row r="246" spans="1:33">
      <c r="A246" s="1" t="s">
        <v>859</v>
      </c>
      <c r="B246" t="s">
        <v>840</v>
      </c>
      <c r="C246" s="301">
        <v>168.19138601489854</v>
      </c>
      <c r="D246" s="302">
        <v>153.69309777447339</v>
      </c>
      <c r="E246" s="303">
        <v>133.46254409956887</v>
      </c>
      <c r="F246" s="302">
        <v>133.77349040926109</v>
      </c>
      <c r="G246" s="301">
        <v>136.57059083731963</v>
      </c>
      <c r="H246" s="301">
        <v>143.28874210723029</v>
      </c>
      <c r="I246" s="301">
        <v>139.96349608526447</v>
      </c>
      <c r="J246" s="301">
        <v>127.56933334137165</v>
      </c>
      <c r="K246" s="301">
        <v>125.88306949466246</v>
      </c>
      <c r="L246" s="301">
        <v>119.27715407394334</v>
      </c>
      <c r="M246" s="301">
        <v>108.46077703965987</v>
      </c>
      <c r="N246" s="301">
        <v>90.603439998903909</v>
      </c>
      <c r="O246" s="301">
        <v>70.390104012125761</v>
      </c>
      <c r="P246" s="301">
        <v>70.234024423371196</v>
      </c>
      <c r="Q246" s="301">
        <v>39.920569172403411</v>
      </c>
      <c r="R246" s="301">
        <v>43.918317352138139</v>
      </c>
      <c r="S246" s="610"/>
      <c r="T246" s="610"/>
      <c r="U246" s="610"/>
      <c r="V246" s="610"/>
      <c r="W246" s="610"/>
      <c r="X246" s="610"/>
      <c r="Y246" s="610"/>
      <c r="Z246" s="610"/>
      <c r="AA246" s="610"/>
      <c r="AB246" s="610"/>
      <c r="AC246" s="610"/>
      <c r="AD246" s="610"/>
      <c r="AE246" s="610"/>
      <c r="AF246" s="610"/>
      <c r="AG246" s="610"/>
    </row>
    <row r="247" spans="1:33">
      <c r="A247" s="1"/>
      <c r="B247" t="s">
        <v>844</v>
      </c>
      <c r="C247" s="301">
        <v>253.28238233713864</v>
      </c>
      <c r="D247" s="302">
        <v>249.65775834870965</v>
      </c>
      <c r="E247" s="303">
        <v>244.65940157661177</v>
      </c>
      <c r="F247" s="302">
        <v>241.27483381286586</v>
      </c>
      <c r="G247" s="301">
        <v>239.42608922106291</v>
      </c>
      <c r="H247" s="301">
        <v>224.7741379075789</v>
      </c>
      <c r="I247" s="301">
        <v>216.34842345960504</v>
      </c>
      <c r="J247" s="301">
        <v>208.26844278740069</v>
      </c>
      <c r="K247" s="301">
        <v>193.75805593711718</v>
      </c>
      <c r="L247" s="301">
        <v>181.59891046243382</v>
      </c>
      <c r="M247" s="301">
        <v>185.09286788208161</v>
      </c>
      <c r="N247" s="301">
        <v>160.86031253068089</v>
      </c>
      <c r="O247" s="301">
        <v>147.70223311747017</v>
      </c>
      <c r="P247" s="301">
        <v>170.48262237624914</v>
      </c>
      <c r="Q247" s="301">
        <v>122.10851431876192</v>
      </c>
      <c r="R247" s="301">
        <v>155.76887732617337</v>
      </c>
      <c r="S247" s="610"/>
      <c r="T247" s="610"/>
      <c r="U247" s="610"/>
      <c r="V247" s="610"/>
      <c r="W247" s="610"/>
      <c r="X247" s="610"/>
      <c r="Y247" s="610"/>
      <c r="Z247" s="610"/>
      <c r="AA247" s="610"/>
      <c r="AB247" s="610"/>
      <c r="AC247" s="610"/>
      <c r="AD247" s="610"/>
      <c r="AE247" s="610"/>
      <c r="AF247" s="610"/>
      <c r="AG247" s="610"/>
    </row>
    <row r="248" spans="1:33">
      <c r="A248" s="1"/>
      <c r="B248" t="s">
        <v>845</v>
      </c>
      <c r="C248" s="301">
        <v>94.556392523698619</v>
      </c>
      <c r="D248" s="302">
        <v>92.744799587068897</v>
      </c>
      <c r="E248" s="303">
        <v>89.345278350633009</v>
      </c>
      <c r="F248" s="302">
        <v>88.715548939050294</v>
      </c>
      <c r="G248" s="301">
        <v>91.301540330592786</v>
      </c>
      <c r="H248" s="301">
        <v>89.644595670317372</v>
      </c>
      <c r="I248" s="301">
        <v>87.041425425953662</v>
      </c>
      <c r="J248" s="301">
        <v>83.658407141836761</v>
      </c>
      <c r="K248" s="301">
        <v>79.273570258121282</v>
      </c>
      <c r="L248" s="301">
        <v>74.149118626161965</v>
      </c>
      <c r="M248" s="301">
        <v>68.41425195154568</v>
      </c>
      <c r="N248" s="301">
        <v>62.023855884610605</v>
      </c>
      <c r="O248" s="301">
        <v>54.826036773471792</v>
      </c>
      <c r="P248" s="301">
        <v>46.704969658966</v>
      </c>
      <c r="Q248" s="301">
        <v>37.528314508187492</v>
      </c>
      <c r="R248" s="301">
        <v>27.144860713991957</v>
      </c>
      <c r="S248" s="610"/>
      <c r="T248" s="610"/>
      <c r="U248" s="610"/>
      <c r="V248" s="610"/>
      <c r="W248" s="610"/>
      <c r="X248" s="610"/>
      <c r="Y248" s="610"/>
      <c r="Z248" s="610"/>
      <c r="AA248" s="610"/>
      <c r="AB248" s="610"/>
      <c r="AC248" s="610"/>
      <c r="AD248" s="610"/>
      <c r="AE248" s="610"/>
      <c r="AF248" s="610"/>
      <c r="AG248" s="610"/>
    </row>
    <row r="249" spans="1:33">
      <c r="A249" s="1"/>
      <c r="B249" t="s">
        <v>846</v>
      </c>
      <c r="C249" s="301">
        <v>502.49413081650505</v>
      </c>
      <c r="D249" s="302">
        <v>495.51490577834107</v>
      </c>
      <c r="E249" s="303">
        <v>496.24043638876481</v>
      </c>
      <c r="F249" s="302">
        <v>495.0928476596518</v>
      </c>
      <c r="G249" s="301">
        <v>497.24914821581615</v>
      </c>
      <c r="H249" s="301">
        <v>495.84224746741506</v>
      </c>
      <c r="I249" s="301">
        <v>494.22874020749759</v>
      </c>
      <c r="J249" s="301">
        <v>491.93691773383529</v>
      </c>
      <c r="K249" s="301">
        <v>488.76751079274959</v>
      </c>
      <c r="L249" s="301">
        <v>484.35978662442903</v>
      </c>
      <c r="M249" s="301">
        <v>478.22553573808756</v>
      </c>
      <c r="N249" s="301">
        <v>469.82055266342564</v>
      </c>
      <c r="O249" s="301">
        <v>458.58857292750508</v>
      </c>
      <c r="P249" s="301">
        <v>445.97968177431301</v>
      </c>
      <c r="Q249" s="301">
        <v>434.00266788462648</v>
      </c>
      <c r="R249" s="301">
        <v>422.62451872846339</v>
      </c>
      <c r="S249" s="610"/>
      <c r="T249" s="610"/>
      <c r="U249" s="610"/>
      <c r="V249" s="610"/>
      <c r="W249" s="610"/>
      <c r="X249" s="610"/>
      <c r="Y249" s="610"/>
      <c r="Z249" s="610"/>
      <c r="AA249" s="610"/>
      <c r="AB249" s="610"/>
      <c r="AC249" s="610"/>
      <c r="AD249" s="610"/>
      <c r="AE249" s="610"/>
      <c r="AF249" s="610"/>
      <c r="AG249" s="610"/>
    </row>
    <row r="250" spans="1:33">
      <c r="A250" s="1"/>
      <c r="B250" t="s">
        <v>847</v>
      </c>
      <c r="C250" s="301">
        <v>1227.9881815395636</v>
      </c>
      <c r="D250" s="302">
        <v>1219.1366343879488</v>
      </c>
      <c r="E250" s="303">
        <v>1225.2814599327164</v>
      </c>
      <c r="F250" s="302">
        <v>1222.4138129238506</v>
      </c>
      <c r="G250" s="301">
        <v>1222.6897637609463</v>
      </c>
      <c r="H250" s="301">
        <v>1219.4074616158166</v>
      </c>
      <c r="I250" s="301">
        <v>1215.9398264546485</v>
      </c>
      <c r="J250" s="301">
        <v>1211.4941296665575</v>
      </c>
      <c r="K250" s="301">
        <v>1206.1093011550001</v>
      </c>
      <c r="L250" s="301">
        <v>1199.5375101309494</v>
      </c>
      <c r="M250" s="301">
        <v>1191.3003748729629</v>
      </c>
      <c r="N250" s="301">
        <v>1180.9234779327398</v>
      </c>
      <c r="O250" s="301">
        <v>1168.0554229895706</v>
      </c>
      <c r="P250" s="301">
        <v>1152.6087295855041</v>
      </c>
      <c r="Q250" s="301">
        <v>1134.5433610272892</v>
      </c>
      <c r="R250" s="301">
        <v>1113.5549100328351</v>
      </c>
      <c r="S250" s="610"/>
      <c r="T250" s="610"/>
      <c r="U250" s="610"/>
      <c r="V250" s="610"/>
      <c r="W250" s="610"/>
      <c r="X250" s="610"/>
      <c r="Y250" s="610"/>
      <c r="Z250" s="610"/>
      <c r="AA250" s="610"/>
      <c r="AB250" s="610"/>
      <c r="AC250" s="610"/>
      <c r="AD250" s="610"/>
      <c r="AE250" s="610"/>
      <c r="AF250" s="610"/>
      <c r="AG250" s="610"/>
    </row>
    <row r="251" spans="1:33">
      <c r="A251" s="1"/>
      <c r="B251" t="s">
        <v>848</v>
      </c>
      <c r="C251" s="301">
        <v>847.39982198521363</v>
      </c>
      <c r="D251" s="302">
        <v>841.13898028664596</v>
      </c>
      <c r="E251" s="303">
        <v>747.14697391968252</v>
      </c>
      <c r="F251" s="302">
        <v>501.90973576001403</v>
      </c>
      <c r="G251" s="301">
        <v>487.34898857613098</v>
      </c>
      <c r="H251" s="301">
        <v>443.99582337885249</v>
      </c>
      <c r="I251" s="301">
        <v>384.76493084412249</v>
      </c>
      <c r="J251" s="301">
        <v>301.79203288920684</v>
      </c>
      <c r="K251" s="301">
        <v>238.5634069720883</v>
      </c>
      <c r="L251" s="301">
        <v>192.0890466652433</v>
      </c>
      <c r="M251" s="301">
        <v>158.44092136930797</v>
      </c>
      <c r="N251" s="301">
        <v>132.46401572883491</v>
      </c>
      <c r="O251" s="301">
        <v>110.72933445788284</v>
      </c>
      <c r="P251" s="301">
        <v>93.812668466002805</v>
      </c>
      <c r="Q251" s="301">
        <v>81.613077712553064</v>
      </c>
      <c r="R251" s="301">
        <v>72.972922394546643</v>
      </c>
      <c r="S251" s="610"/>
      <c r="T251" s="610"/>
      <c r="U251" s="610"/>
      <c r="V251" s="610"/>
      <c r="W251" s="610"/>
      <c r="X251" s="610"/>
      <c r="Y251" s="610"/>
      <c r="Z251" s="610"/>
      <c r="AA251" s="610"/>
      <c r="AB251" s="610"/>
      <c r="AC251" s="610"/>
      <c r="AD251" s="610"/>
      <c r="AE251" s="610"/>
      <c r="AF251" s="610"/>
      <c r="AG251" s="610"/>
    </row>
    <row r="252" spans="1:33">
      <c r="A252" s="1" t="s">
        <v>860</v>
      </c>
      <c r="B252" t="s">
        <v>840</v>
      </c>
      <c r="C252" s="301">
        <v>180.7802340215309</v>
      </c>
      <c r="D252" s="302">
        <v>177.49447513775868</v>
      </c>
      <c r="E252" s="303">
        <v>170.94432335025533</v>
      </c>
      <c r="F252" s="302">
        <v>159.34938933622087</v>
      </c>
      <c r="G252" s="301">
        <v>147.00000494748005</v>
      </c>
      <c r="H252" s="301">
        <v>149.69350910740559</v>
      </c>
      <c r="I252" s="301">
        <v>145.99430189642868</v>
      </c>
      <c r="J252" s="301">
        <v>130.47674543128377</v>
      </c>
      <c r="K252" s="301">
        <v>116.79983337678298</v>
      </c>
      <c r="L252" s="301">
        <v>106.92926316976384</v>
      </c>
      <c r="M252" s="301">
        <v>115.68680757559513</v>
      </c>
      <c r="N252" s="301">
        <v>119.3112614874841</v>
      </c>
      <c r="O252" s="301">
        <v>118.48483950198063</v>
      </c>
      <c r="P252" s="301">
        <v>121.94844109017046</v>
      </c>
      <c r="Q252" s="301">
        <v>110.66701185172131</v>
      </c>
      <c r="R252" s="301">
        <v>104.23166339163971</v>
      </c>
      <c r="S252" s="610"/>
      <c r="T252" s="610"/>
      <c r="U252" s="610"/>
      <c r="V252" s="610"/>
      <c r="W252" s="610"/>
      <c r="X252" s="610"/>
      <c r="Y252" s="610"/>
      <c r="Z252" s="610"/>
      <c r="AA252" s="610"/>
      <c r="AB252" s="610"/>
      <c r="AC252" s="610"/>
      <c r="AD252" s="610"/>
      <c r="AE252" s="610"/>
      <c r="AF252" s="610"/>
      <c r="AG252" s="610"/>
    </row>
    <row r="253" spans="1:33">
      <c r="A253" s="1"/>
      <c r="B253" t="s">
        <v>844</v>
      </c>
      <c r="C253" s="301">
        <v>268.09073801196331</v>
      </c>
      <c r="D253" s="302">
        <v>264.92537724204249</v>
      </c>
      <c r="E253" s="303">
        <v>263.88939673879753</v>
      </c>
      <c r="F253" s="302">
        <v>261.21664521170982</v>
      </c>
      <c r="G253" s="301">
        <v>251.85799393444216</v>
      </c>
      <c r="H253" s="301">
        <v>240.9961181253984</v>
      </c>
      <c r="I253" s="301">
        <v>194.73564037792289</v>
      </c>
      <c r="J253" s="301">
        <v>152.98583396954717</v>
      </c>
      <c r="K253" s="301">
        <v>109.64285017574939</v>
      </c>
      <c r="L253" s="301">
        <v>137.52717989732676</v>
      </c>
      <c r="M253" s="301">
        <v>135.66905696333274</v>
      </c>
      <c r="N253" s="301">
        <v>92.290485515683017</v>
      </c>
      <c r="O253" s="301">
        <v>108.45871129521434</v>
      </c>
      <c r="P253" s="301">
        <v>162.43023697203026</v>
      </c>
      <c r="Q253" s="301">
        <v>105.41731417223717</v>
      </c>
      <c r="R253" s="301">
        <v>162.83498580406231</v>
      </c>
      <c r="S253" s="610"/>
      <c r="T253" s="610"/>
      <c r="U253" s="610"/>
      <c r="V253" s="610"/>
      <c r="W253" s="610"/>
      <c r="X253" s="610"/>
      <c r="Y253" s="610"/>
      <c r="Z253" s="610"/>
      <c r="AA253" s="610"/>
      <c r="AB253" s="610"/>
      <c r="AC253" s="610"/>
      <c r="AD253" s="610"/>
      <c r="AE253" s="610"/>
      <c r="AF253" s="610"/>
      <c r="AG253" s="610"/>
    </row>
    <row r="254" spans="1:33">
      <c r="A254" s="1"/>
      <c r="B254" t="s">
        <v>845</v>
      </c>
      <c r="C254" s="301">
        <v>106.08478306483272</v>
      </c>
      <c r="D254" s="302">
        <v>105.68863193073021</v>
      </c>
      <c r="E254" s="303">
        <v>104.29628888021996</v>
      </c>
      <c r="F254" s="302">
        <v>103.97101716097227</v>
      </c>
      <c r="G254" s="301">
        <v>100.35264857130487</v>
      </c>
      <c r="H254" s="301">
        <v>96.476176436946147</v>
      </c>
      <c r="I254" s="301">
        <v>91.960143733423152</v>
      </c>
      <c r="J254" s="301">
        <v>86.713060675496763</v>
      </c>
      <c r="K254" s="301">
        <v>80.791980061138531</v>
      </c>
      <c r="L254" s="301">
        <v>74.098973993214557</v>
      </c>
      <c r="M254" s="301">
        <v>66.521945029320293</v>
      </c>
      <c r="N254" s="301">
        <v>57.932575669186846</v>
      </c>
      <c r="O254" s="301">
        <v>48.183981108193535</v>
      </c>
      <c r="P254" s="301">
        <v>37.108022316008537</v>
      </c>
      <c r="Q254" s="301">
        <v>24.512230285301687</v>
      </c>
      <c r="R254" s="301">
        <v>10.176068028407062</v>
      </c>
      <c r="S254" s="610"/>
      <c r="T254" s="610"/>
      <c r="U254" s="610"/>
      <c r="V254" s="610"/>
      <c r="W254" s="610"/>
      <c r="X254" s="610"/>
      <c r="Y254" s="610"/>
      <c r="Z254" s="610"/>
      <c r="AA254" s="610"/>
      <c r="AB254" s="610"/>
      <c r="AC254" s="610"/>
      <c r="AD254" s="610"/>
      <c r="AE254" s="610"/>
      <c r="AF254" s="610"/>
      <c r="AG254" s="610"/>
    </row>
    <row r="255" spans="1:33">
      <c r="A255" s="1"/>
      <c r="B255" t="s">
        <v>846</v>
      </c>
      <c r="C255" s="301">
        <v>519.86173863523459</v>
      </c>
      <c r="D255" s="302">
        <v>519.00589167972157</v>
      </c>
      <c r="E255" s="303">
        <v>516.91204198354558</v>
      </c>
      <c r="F255" s="302">
        <v>516.41251775759508</v>
      </c>
      <c r="G255" s="301">
        <v>515.87679765587711</v>
      </c>
      <c r="H255" s="301">
        <v>515.17963692366311</v>
      </c>
      <c r="I255" s="301">
        <v>514.41112132914827</v>
      </c>
      <c r="J255" s="301">
        <v>513.46697345856546</v>
      </c>
      <c r="K255" s="301">
        <v>512.05011988276283</v>
      </c>
      <c r="L255" s="301">
        <v>509.57786667807187</v>
      </c>
      <c r="M255" s="301">
        <v>509.11228138804051</v>
      </c>
      <c r="N255" s="301">
        <v>506.37594735214736</v>
      </c>
      <c r="O255" s="301">
        <v>500.41667616699635</v>
      </c>
      <c r="P255" s="301">
        <v>492.16370422014899</v>
      </c>
      <c r="Q255" s="301">
        <v>481.35113904023808</v>
      </c>
      <c r="R255" s="301">
        <v>467.75285497796818</v>
      </c>
      <c r="S255" s="610"/>
      <c r="T255" s="610"/>
      <c r="U255" s="610"/>
      <c r="V255" s="610"/>
      <c r="W255" s="610"/>
      <c r="X255" s="610"/>
      <c r="Y255" s="610"/>
      <c r="Z255" s="610"/>
      <c r="AA255" s="610"/>
      <c r="AB255" s="610"/>
      <c r="AC255" s="610"/>
      <c r="AD255" s="610"/>
      <c r="AE255" s="610"/>
      <c r="AF255" s="610"/>
      <c r="AG255" s="610"/>
    </row>
    <row r="256" spans="1:33">
      <c r="A256" s="1"/>
      <c r="B256" t="s">
        <v>847</v>
      </c>
      <c r="C256" s="301">
        <v>1226.7356755576527</v>
      </c>
      <c r="D256" s="302">
        <v>1224.7085378640222</v>
      </c>
      <c r="E256" s="303">
        <v>1219.3263611330483</v>
      </c>
      <c r="F256" s="302">
        <v>1218.2638019252383</v>
      </c>
      <c r="G256" s="301">
        <v>1216.9168799021406</v>
      </c>
      <c r="H256" s="301">
        <v>1215.1642971476106</v>
      </c>
      <c r="I256" s="301">
        <v>1213.5854909873538</v>
      </c>
      <c r="J256" s="301">
        <v>1211.6287147811895</v>
      </c>
      <c r="K256" s="301">
        <v>1208.9579134065223</v>
      </c>
      <c r="L256" s="301">
        <v>1204.9772030543995</v>
      </c>
      <c r="M256" s="301">
        <v>1203.9105689798391</v>
      </c>
      <c r="N256" s="301">
        <v>1198.974886209025</v>
      </c>
      <c r="O256" s="301">
        <v>1189.9441408581135</v>
      </c>
      <c r="P256" s="301">
        <v>1178.8250757166584</v>
      </c>
      <c r="Q256" s="301">
        <v>1165.7552525640485</v>
      </c>
      <c r="R256" s="301">
        <v>1150.6640767310562</v>
      </c>
      <c r="S256" s="610"/>
      <c r="T256" s="610"/>
      <c r="U256" s="610"/>
      <c r="V256" s="610"/>
      <c r="W256" s="610"/>
      <c r="X256" s="610"/>
      <c r="Y256" s="610"/>
      <c r="Z256" s="610"/>
      <c r="AA256" s="610"/>
      <c r="AB256" s="610"/>
      <c r="AC256" s="610"/>
      <c r="AD256" s="610"/>
      <c r="AE256" s="610"/>
      <c r="AF256" s="610"/>
      <c r="AG256" s="610"/>
    </row>
    <row r="257" spans="1:33">
      <c r="A257" s="1"/>
      <c r="B257" t="s">
        <v>848</v>
      </c>
      <c r="C257" s="301">
        <v>858.95966072903968</v>
      </c>
      <c r="D257" s="302">
        <v>856.032579064169</v>
      </c>
      <c r="E257" s="303">
        <v>889.0225463807725</v>
      </c>
      <c r="F257" s="302">
        <v>890.784488011897</v>
      </c>
      <c r="G257" s="301">
        <v>803.27848657834011</v>
      </c>
      <c r="H257" s="301">
        <v>697.5259992049439</v>
      </c>
      <c r="I257" s="301">
        <v>590.10281670773452</v>
      </c>
      <c r="J257" s="301">
        <v>440.16282848826029</v>
      </c>
      <c r="K257" s="301">
        <v>258.73919010441239</v>
      </c>
      <c r="L257" s="301">
        <v>142.87210835412739</v>
      </c>
      <c r="M257" s="301">
        <v>110.93580421170412</v>
      </c>
      <c r="N257" s="301">
        <v>87.589042289700771</v>
      </c>
      <c r="O257" s="301">
        <v>62.370423508094618</v>
      </c>
      <c r="P257" s="301">
        <v>44.245034721334356</v>
      </c>
      <c r="Q257" s="301">
        <v>33.05039363000607</v>
      </c>
      <c r="R257" s="301">
        <v>26.381281652671209</v>
      </c>
      <c r="S257" s="610"/>
      <c r="T257" s="610"/>
      <c r="U257" s="610"/>
      <c r="V257" s="610"/>
      <c r="W257" s="610"/>
      <c r="X257" s="610"/>
      <c r="Y257" s="610"/>
      <c r="Z257" s="610"/>
      <c r="AA257" s="610"/>
      <c r="AB257" s="610"/>
      <c r="AC257" s="610"/>
      <c r="AD257" s="610"/>
      <c r="AE257" s="610"/>
      <c r="AF257" s="610"/>
      <c r="AG257" s="610"/>
    </row>
    <row r="258" spans="1:33">
      <c r="A258" s="1" t="s">
        <v>861</v>
      </c>
      <c r="B258" t="s">
        <v>840</v>
      </c>
      <c r="C258" s="301">
        <v>175.51127892983811</v>
      </c>
      <c r="D258" s="302">
        <v>166.32657847464395</v>
      </c>
      <c r="E258" s="303">
        <v>154.87658687987849</v>
      </c>
      <c r="F258" s="302">
        <v>148.38548068068772</v>
      </c>
      <c r="G258" s="301">
        <v>142.5291105339119</v>
      </c>
      <c r="H258" s="301">
        <v>146.94790550025832</v>
      </c>
      <c r="I258" s="301">
        <v>143.40900844411667</v>
      </c>
      <c r="J258" s="301">
        <v>129.23039234438644</v>
      </c>
      <c r="K258" s="301">
        <v>120.69364650833604</v>
      </c>
      <c r="L258" s="301">
        <v>112.22257263851553</v>
      </c>
      <c r="M258" s="301">
        <v>112.58914367864509</v>
      </c>
      <c r="N258" s="301">
        <v>107.00475631247483</v>
      </c>
      <c r="O258" s="301">
        <v>97.867527546350473</v>
      </c>
      <c r="P258" s="301">
        <v>99.779439635785749</v>
      </c>
      <c r="Q258" s="301">
        <v>80.339337447975339</v>
      </c>
      <c r="R258" s="301">
        <v>78.376462032925929</v>
      </c>
      <c r="S258" s="610"/>
      <c r="T258" s="610"/>
      <c r="U258" s="610"/>
      <c r="V258" s="610"/>
      <c r="W258" s="610"/>
      <c r="X258" s="610"/>
      <c r="Y258" s="610"/>
      <c r="Z258" s="610"/>
      <c r="AA258" s="610"/>
      <c r="AB258" s="610"/>
      <c r="AC258" s="610"/>
      <c r="AD258" s="610"/>
      <c r="AE258" s="610"/>
      <c r="AF258" s="610"/>
      <c r="AG258" s="610"/>
    </row>
    <row r="259" spans="1:33">
      <c r="B259" t="s">
        <v>844</v>
      </c>
      <c r="C259" s="301">
        <v>255.85499689076295</v>
      </c>
      <c r="D259" s="302">
        <v>251.02430736544349</v>
      </c>
      <c r="E259" s="303">
        <v>247.75097106112636</v>
      </c>
      <c r="F259" s="302">
        <v>244.48084063016574</v>
      </c>
      <c r="G259" s="301">
        <v>241.42474272680346</v>
      </c>
      <c r="H259" s="301">
        <v>227.3821145917556</v>
      </c>
      <c r="I259" s="301">
        <v>212.87377772583218</v>
      </c>
      <c r="J259" s="301">
        <v>199.38076366922198</v>
      </c>
      <c r="K259" s="301">
        <v>180.23501544114887</v>
      </c>
      <c r="L259" s="301">
        <v>174.51358276496453</v>
      </c>
      <c r="M259" s="301">
        <v>177.14709647880599</v>
      </c>
      <c r="N259" s="301">
        <v>149.83647279644771</v>
      </c>
      <c r="O259" s="301">
        <v>141.39312729048879</v>
      </c>
      <c r="P259" s="301">
        <v>169.18805580026864</v>
      </c>
      <c r="Q259" s="301">
        <v>119.42510204550278</v>
      </c>
      <c r="R259" s="301">
        <v>156.90488205005752</v>
      </c>
      <c r="S259" s="610"/>
      <c r="T259" s="610"/>
      <c r="U259" s="610"/>
      <c r="V259" s="610"/>
      <c r="W259" s="610"/>
      <c r="X259" s="610"/>
      <c r="Y259" s="610"/>
      <c r="Z259" s="610"/>
      <c r="AA259" s="610"/>
      <c r="AB259" s="610"/>
      <c r="AC259" s="610"/>
      <c r="AD259" s="610"/>
      <c r="AE259" s="610"/>
      <c r="AF259" s="610"/>
      <c r="AG259" s="610"/>
    </row>
    <row r="260" spans="1:33">
      <c r="B260" t="s">
        <v>845</v>
      </c>
      <c r="C260" s="301">
        <v>97.618663823810664</v>
      </c>
      <c r="D260" s="302">
        <v>95.373109913371067</v>
      </c>
      <c r="E260" s="303">
        <v>93.394716488763322</v>
      </c>
      <c r="F260" s="302">
        <v>92.847448566211668</v>
      </c>
      <c r="G260" s="301">
        <v>93.753006927432764</v>
      </c>
      <c r="H260" s="301">
        <v>91.494909643768139</v>
      </c>
      <c r="I260" s="301">
        <v>88.373646112011656</v>
      </c>
      <c r="J260" s="301">
        <v>84.485751253025683</v>
      </c>
      <c r="K260" s="301">
        <v>79.68482717975084</v>
      </c>
      <c r="L260" s="301">
        <v>74.135537096761141</v>
      </c>
      <c r="M260" s="301">
        <v>67.901726072124802</v>
      </c>
      <c r="N260" s="301">
        <v>60.915744422490405</v>
      </c>
      <c r="O260" s="301">
        <v>53.027055127827445</v>
      </c>
      <c r="P260" s="301">
        <v>44.105664113478298</v>
      </c>
      <c r="Q260" s="301">
        <v>34.002945587005549</v>
      </c>
      <c r="R260" s="301">
        <v>22.548912090783244</v>
      </c>
      <c r="S260" s="610"/>
      <c r="T260" s="610"/>
      <c r="U260" s="610"/>
      <c r="V260" s="610"/>
      <c r="W260" s="610"/>
      <c r="X260" s="610"/>
      <c r="Y260" s="610"/>
      <c r="Z260" s="610"/>
      <c r="AA260" s="610"/>
      <c r="AB260" s="610"/>
      <c r="AC260" s="610"/>
      <c r="AD260" s="610"/>
      <c r="AE260" s="610"/>
      <c r="AF260" s="610"/>
      <c r="AG260" s="610"/>
    </row>
    <row r="261" spans="1:33">
      <c r="B261" t="s">
        <v>846</v>
      </c>
      <c r="C261" s="301">
        <v>507.65913875421984</v>
      </c>
      <c r="D261" s="302">
        <v>508.91054224190566</v>
      </c>
      <c r="E261" s="303">
        <v>503.31872519977105</v>
      </c>
      <c r="F261" s="302">
        <v>502.39304413528106</v>
      </c>
      <c r="G261" s="301">
        <v>503.62755370552912</v>
      </c>
      <c r="H261" s="301">
        <v>502.46367930514288</v>
      </c>
      <c r="I261" s="301">
        <v>501.13951072398379</v>
      </c>
      <c r="J261" s="301">
        <v>499.30915361739795</v>
      </c>
      <c r="K261" s="301">
        <v>496.73984901569264</v>
      </c>
      <c r="L261" s="301">
        <v>492.99486110184796</v>
      </c>
      <c r="M261" s="301">
        <v>488.80165209924996</v>
      </c>
      <c r="N261" s="301">
        <v>482.33770523876427</v>
      </c>
      <c r="O261" s="301">
        <v>472.91118535295004</v>
      </c>
      <c r="P261" s="301">
        <v>461.79383069597014</v>
      </c>
      <c r="Q261" s="301">
        <v>450.21554269313373</v>
      </c>
      <c r="R261" s="301">
        <v>438.0771837897031</v>
      </c>
      <c r="S261" s="610"/>
      <c r="T261" s="610"/>
      <c r="U261" s="610"/>
      <c r="V261" s="610"/>
      <c r="W261" s="610"/>
      <c r="X261" s="610"/>
      <c r="Y261" s="610"/>
      <c r="Z261" s="610"/>
      <c r="AA261" s="610"/>
      <c r="AB261" s="610"/>
      <c r="AC261" s="610"/>
      <c r="AD261" s="610"/>
      <c r="AE261" s="610"/>
      <c r="AF261" s="610"/>
      <c r="AG261" s="610"/>
    </row>
    <row r="262" spans="1:33">
      <c r="B262" t="s">
        <v>847</v>
      </c>
      <c r="C262" s="301">
        <v>1227.6156948156504</v>
      </c>
      <c r="D262" s="302">
        <v>1222.3139890417256</v>
      </c>
      <c r="E262" s="303">
        <v>1223.2423387329211</v>
      </c>
      <c r="F262" s="302">
        <v>1220.9927826955823</v>
      </c>
      <c r="G262" s="301">
        <v>1220.7130358750708</v>
      </c>
      <c r="H262" s="301">
        <v>1217.9545341477083</v>
      </c>
      <c r="I262" s="301">
        <v>1215.1336642860108</v>
      </c>
      <c r="J262" s="301">
        <v>1211.5402137651852</v>
      </c>
      <c r="K262" s="301">
        <v>1207.0847116103896</v>
      </c>
      <c r="L262" s="301">
        <v>1201.4001481045129</v>
      </c>
      <c r="M262" s="301">
        <v>1195.6183072871656</v>
      </c>
      <c r="N262" s="301">
        <v>1187.1045692194853</v>
      </c>
      <c r="O262" s="301">
        <v>1175.5504705351425</v>
      </c>
      <c r="P262" s="301">
        <v>1161.5856263550745</v>
      </c>
      <c r="Q262" s="301">
        <v>1145.2308125472994</v>
      </c>
      <c r="R262" s="301">
        <v>1126.2616830128738</v>
      </c>
      <c r="S262" s="610"/>
      <c r="T262" s="610"/>
      <c r="U262" s="610"/>
      <c r="V262" s="610"/>
      <c r="W262" s="610"/>
      <c r="X262" s="610"/>
      <c r="Y262" s="610"/>
      <c r="Z262" s="610"/>
      <c r="AA262" s="610"/>
      <c r="AB262" s="610"/>
      <c r="AC262" s="610"/>
      <c r="AD262" s="610"/>
      <c r="AE262" s="610"/>
      <c r="AF262" s="610"/>
      <c r="AG262" s="610"/>
    </row>
    <row r="263" spans="1:33">
      <c r="B263" t="s">
        <v>848</v>
      </c>
      <c r="C263" s="301">
        <v>849.62286789748794</v>
      </c>
      <c r="D263" s="302">
        <v>842.60469953141808</v>
      </c>
      <c r="E263" s="303">
        <v>766.97939320492878</v>
      </c>
      <c r="F263" s="302">
        <v>556.26953147622692</v>
      </c>
      <c r="G263" s="301">
        <v>531.51195588803796</v>
      </c>
      <c r="H263" s="301">
        <v>479.43615085188691</v>
      </c>
      <c r="I263" s="301">
        <v>413.46858276214425</v>
      </c>
      <c r="J263" s="301">
        <v>321.13452848270407</v>
      </c>
      <c r="K263" s="301">
        <v>241.3837275075222</v>
      </c>
      <c r="L263" s="301">
        <v>185.20913816802931</v>
      </c>
      <c r="M263" s="301">
        <v>151.80030392318116</v>
      </c>
      <c r="N263" s="301">
        <v>126.1910592697286</v>
      </c>
      <c r="O263" s="301">
        <v>103.96936738605221</v>
      </c>
      <c r="P263" s="301">
        <v>86.883737161275235</v>
      </c>
      <c r="Q263" s="301">
        <v>74.824625721593392</v>
      </c>
      <c r="R263" s="301">
        <v>66.459997453687947</v>
      </c>
      <c r="S263" s="610"/>
      <c r="T263" s="610"/>
      <c r="U263" s="610"/>
      <c r="V263" s="610"/>
      <c r="W263" s="610"/>
      <c r="X263" s="610"/>
      <c r="Y263" s="610"/>
      <c r="Z263" s="610"/>
      <c r="AA263" s="610"/>
      <c r="AB263" s="610"/>
      <c r="AC263" s="610"/>
      <c r="AD263" s="610"/>
      <c r="AE263" s="610"/>
      <c r="AF263" s="610"/>
      <c r="AG263" s="610"/>
    </row>
    <row r="265" spans="1:33">
      <c r="A265" s="262" t="s">
        <v>862</v>
      </c>
      <c r="B265" s="262"/>
      <c r="C265" s="262"/>
      <c r="D265" s="263"/>
      <c r="E265" s="264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</row>
    <row r="266" spans="1:33">
      <c r="B266" t="s">
        <v>840</v>
      </c>
      <c r="C266" s="301">
        <v>3354.95</v>
      </c>
      <c r="D266" s="302">
        <v>3409.6819999999998</v>
      </c>
      <c r="E266" s="303">
        <v>3465.9719999999998</v>
      </c>
      <c r="F266" s="302">
        <v>3563.2547610551055</v>
      </c>
      <c r="G266" s="301">
        <v>3587.3080206314339</v>
      </c>
      <c r="H266" s="301">
        <v>3620.1742615014023</v>
      </c>
      <c r="I266" s="301">
        <v>3649.3011886312229</v>
      </c>
      <c r="J266" s="301">
        <v>3673.4217795196596</v>
      </c>
      <c r="K266" s="301">
        <v>3688.9821789376606</v>
      </c>
      <c r="L266" s="301">
        <v>3711.0446651473953</v>
      </c>
      <c r="M266" s="301">
        <v>3730.5760023471184</v>
      </c>
      <c r="N266" s="301">
        <v>3751.933140432106</v>
      </c>
      <c r="O266" s="301">
        <v>3764.3661645756156</v>
      </c>
      <c r="P266" s="301">
        <v>3775.0942224146816</v>
      </c>
      <c r="Q266" s="301">
        <v>3792.3648868687274</v>
      </c>
      <c r="R266" s="301">
        <v>3805.734323713933</v>
      </c>
      <c r="S266" s="610"/>
      <c r="T266" s="610"/>
      <c r="U266" s="610"/>
      <c r="V266" s="610"/>
      <c r="W266" s="610"/>
      <c r="X266" s="610"/>
      <c r="Y266" s="610"/>
      <c r="Z266" s="610"/>
      <c r="AA266" s="610"/>
      <c r="AB266" s="610"/>
      <c r="AC266" s="610"/>
      <c r="AD266" s="610"/>
      <c r="AE266" s="610"/>
      <c r="AF266" s="610"/>
      <c r="AG266" s="610"/>
    </row>
    <row r="267" spans="1:33">
      <c r="B267" t="s">
        <v>844</v>
      </c>
      <c r="C267" s="301">
        <v>681.94499999999994</v>
      </c>
      <c r="D267" s="302">
        <v>716.024</v>
      </c>
      <c r="E267" s="303">
        <v>745.976</v>
      </c>
      <c r="F267" s="302">
        <v>782.71496171568367</v>
      </c>
      <c r="G267" s="301">
        <v>807.21838346923585</v>
      </c>
      <c r="H267" s="301">
        <v>827.29005759891425</v>
      </c>
      <c r="I267" s="301">
        <v>843.68456137026237</v>
      </c>
      <c r="J267" s="301">
        <v>857.1559431072701</v>
      </c>
      <c r="K267" s="301">
        <v>868.03061727728902</v>
      </c>
      <c r="L267" s="301">
        <v>880.38251416880871</v>
      </c>
      <c r="M267" s="301">
        <v>891.18911994597795</v>
      </c>
      <c r="N267" s="301">
        <v>901.01669868132592</v>
      </c>
      <c r="O267" s="301">
        <v>908.99317300702307</v>
      </c>
      <c r="P267" s="301">
        <v>915.66084350549954</v>
      </c>
      <c r="Q267" s="301">
        <v>922.16475861476329</v>
      </c>
      <c r="R267" s="301">
        <v>928.12625192071164</v>
      </c>
      <c r="S267" s="610"/>
      <c r="T267" s="610"/>
      <c r="U267" s="610"/>
      <c r="V267" s="610"/>
      <c r="W267" s="610"/>
      <c r="X267" s="610"/>
      <c r="Y267" s="610"/>
      <c r="Z267" s="610"/>
      <c r="AA267" s="610"/>
      <c r="AB267" s="610"/>
      <c r="AC267" s="610"/>
      <c r="AD267" s="610"/>
      <c r="AE267" s="610"/>
      <c r="AF267" s="610"/>
      <c r="AG267" s="610"/>
    </row>
    <row r="268" spans="1:33">
      <c r="B268" t="s">
        <v>845</v>
      </c>
      <c r="C268" s="301">
        <v>187.398</v>
      </c>
      <c r="D268" s="302">
        <v>193.88400000000001</v>
      </c>
      <c r="E268" s="303">
        <v>199.21899999999999</v>
      </c>
      <c r="F268" s="302">
        <v>196.0123292268978</v>
      </c>
      <c r="G268" s="301">
        <v>197.15765948775038</v>
      </c>
      <c r="H268" s="301">
        <v>198.04266432235573</v>
      </c>
      <c r="I268" s="301">
        <v>198.71156485799895</v>
      </c>
      <c r="J268" s="301">
        <v>199.1835646623843</v>
      </c>
      <c r="K268" s="301">
        <v>199.44701341115677</v>
      </c>
      <c r="L268" s="301">
        <v>199.94578081709952</v>
      </c>
      <c r="M268" s="301">
        <v>200.20524504480818</v>
      </c>
      <c r="N268" s="301">
        <v>200.3377813235426</v>
      </c>
      <c r="O268" s="301">
        <v>200.35145080782965</v>
      </c>
      <c r="P268" s="301">
        <v>200.14085250410784</v>
      </c>
      <c r="Q268" s="301">
        <v>200.29815310830099</v>
      </c>
      <c r="R268" s="301">
        <v>200.45145549752684</v>
      </c>
      <c r="S268" s="610"/>
      <c r="T268" s="610"/>
      <c r="U268" s="610"/>
      <c r="V268" s="610"/>
      <c r="W268" s="610"/>
      <c r="X268" s="610"/>
      <c r="Y268" s="610"/>
      <c r="Z268" s="610"/>
      <c r="AA268" s="610"/>
      <c r="AB268" s="610"/>
      <c r="AC268" s="610"/>
      <c r="AD268" s="610"/>
      <c r="AE268" s="610"/>
      <c r="AF268" s="610"/>
      <c r="AG268" s="610"/>
    </row>
    <row r="269" spans="1:33">
      <c r="B269" t="s">
        <v>846</v>
      </c>
      <c r="C269" s="301">
        <v>82.36699999999999</v>
      </c>
      <c r="D269" s="302">
        <v>85.135999999999996</v>
      </c>
      <c r="E269" s="303">
        <v>88.187000000000012</v>
      </c>
      <c r="F269" s="302">
        <v>89.709962479248986</v>
      </c>
      <c r="G269" s="301">
        <v>91.312451999094989</v>
      </c>
      <c r="H269" s="301">
        <v>92.801825092916232</v>
      </c>
      <c r="I269" s="301">
        <v>93.987213220016031</v>
      </c>
      <c r="J269" s="301">
        <v>94.911447998151544</v>
      </c>
      <c r="K269" s="301">
        <v>95.680593583940535</v>
      </c>
      <c r="L269" s="301">
        <v>96.400808540532523</v>
      </c>
      <c r="M269" s="301">
        <v>97.096982019845058</v>
      </c>
      <c r="N269" s="301">
        <v>97.818122971608048</v>
      </c>
      <c r="O269" s="301">
        <v>98.478717686120262</v>
      </c>
      <c r="P269" s="301">
        <v>99.079550922124469</v>
      </c>
      <c r="Q269" s="301">
        <v>99.308877233388998</v>
      </c>
      <c r="R269" s="301">
        <v>99.519550445308425</v>
      </c>
      <c r="S269" s="610"/>
      <c r="T269" s="610"/>
      <c r="U269" s="610"/>
      <c r="V269" s="610"/>
      <c r="W269" s="610"/>
      <c r="X269" s="610"/>
      <c r="Y269" s="610"/>
      <c r="Z269" s="610"/>
      <c r="AA269" s="610"/>
      <c r="AB269" s="610"/>
      <c r="AC269" s="610"/>
      <c r="AD269" s="610"/>
      <c r="AE269" s="610"/>
      <c r="AF269" s="610"/>
      <c r="AG269" s="610"/>
    </row>
    <row r="270" spans="1:33">
      <c r="B270" t="s">
        <v>863</v>
      </c>
      <c r="C270" s="301">
        <v>73.953000000000003</v>
      </c>
      <c r="D270" s="302">
        <v>75.781999999999996</v>
      </c>
      <c r="E270" s="303">
        <v>78.22399999999999</v>
      </c>
      <c r="F270" s="302">
        <v>80.13421393807343</v>
      </c>
      <c r="G270" s="301">
        <v>81.987702385418515</v>
      </c>
      <c r="H270" s="301">
        <v>83.637633474553496</v>
      </c>
      <c r="I270" s="301">
        <v>84.921394228545552</v>
      </c>
      <c r="J270" s="301">
        <v>85.889471734261761</v>
      </c>
      <c r="K270" s="301">
        <v>86.652435785056994</v>
      </c>
      <c r="L270" s="301">
        <v>87.321361596521683</v>
      </c>
      <c r="M270" s="301">
        <v>87.930017823394081</v>
      </c>
      <c r="N270" s="301">
        <v>88.533321239811329</v>
      </c>
      <c r="O270" s="301">
        <v>89.059555622795983</v>
      </c>
      <c r="P270" s="301">
        <v>89.515624802192761</v>
      </c>
      <c r="Q270" s="301">
        <v>89.620716629248705</v>
      </c>
      <c r="R270" s="301">
        <v>89.704543779081831</v>
      </c>
      <c r="S270" s="610"/>
      <c r="T270" s="610"/>
      <c r="U270" s="610"/>
      <c r="V270" s="610"/>
      <c r="W270" s="610"/>
      <c r="X270" s="610"/>
      <c r="Y270" s="610"/>
      <c r="Z270" s="610"/>
      <c r="AA270" s="610"/>
      <c r="AB270" s="610"/>
      <c r="AC270" s="610"/>
      <c r="AD270" s="610"/>
      <c r="AE270" s="610"/>
      <c r="AF270" s="610"/>
      <c r="AG270" s="610"/>
    </row>
    <row r="271" spans="1:33">
      <c r="B271" t="s">
        <v>848</v>
      </c>
      <c r="C271" s="301">
        <v>10.952</v>
      </c>
      <c r="D271" s="302">
        <v>11.099</v>
      </c>
      <c r="E271" s="303">
        <v>11.327</v>
      </c>
      <c r="F271" s="302">
        <v>12.404721620902309</v>
      </c>
      <c r="G271" s="301">
        <v>12.832940680865194</v>
      </c>
      <c r="H271" s="301">
        <v>13.205745830195552</v>
      </c>
      <c r="I271" s="301">
        <v>13.538392579630885</v>
      </c>
      <c r="J271" s="301">
        <v>13.821332106358065</v>
      </c>
      <c r="K271" s="301">
        <v>14.06286853690967</v>
      </c>
      <c r="L271" s="301">
        <v>14.28522010177052</v>
      </c>
      <c r="M271" s="301">
        <v>14.490982523007599</v>
      </c>
      <c r="N271" s="301">
        <v>14.684181109531254</v>
      </c>
      <c r="O271" s="301">
        <v>14.866933377494185</v>
      </c>
      <c r="P271" s="301">
        <v>15.042088716556311</v>
      </c>
      <c r="Q271" s="301">
        <v>15.203378651626563</v>
      </c>
      <c r="R271" s="301">
        <v>15.36845334482776</v>
      </c>
      <c r="S271" s="610"/>
      <c r="T271" s="610"/>
      <c r="U271" s="610"/>
      <c r="V271" s="610"/>
      <c r="W271" s="610"/>
      <c r="X271" s="610"/>
      <c r="Y271" s="610"/>
      <c r="Z271" s="610"/>
      <c r="AA271" s="610"/>
      <c r="AB271" s="610"/>
      <c r="AC271" s="610"/>
      <c r="AD271" s="610"/>
      <c r="AE271" s="610"/>
      <c r="AF271" s="610"/>
      <c r="AG271" s="610"/>
    </row>
    <row r="272" spans="1:33">
      <c r="B272" t="s">
        <v>150</v>
      </c>
      <c r="C272" s="301">
        <v>4391.5650000000005</v>
      </c>
      <c r="D272" s="302">
        <v>4491.6070000000009</v>
      </c>
      <c r="E272" s="303">
        <v>4588.9049999999997</v>
      </c>
      <c r="F272" s="302">
        <v>4724.2309500359115</v>
      </c>
      <c r="G272" s="301">
        <v>4777.8171586537992</v>
      </c>
      <c r="H272" s="301">
        <v>4835.1521878203366</v>
      </c>
      <c r="I272" s="301">
        <v>4884.144314887677</v>
      </c>
      <c r="J272" s="301">
        <v>4924.3835391280845</v>
      </c>
      <c r="K272" s="301">
        <v>4952.8557075320132</v>
      </c>
      <c r="L272" s="301">
        <v>4989.3803503721274</v>
      </c>
      <c r="M272" s="301">
        <v>5021.4883497041519</v>
      </c>
      <c r="N272" s="301">
        <v>5054.3232457579252</v>
      </c>
      <c r="O272" s="301">
        <v>5076.1159950768788</v>
      </c>
      <c r="P272" s="301">
        <v>5094.5331828651624</v>
      </c>
      <c r="Q272" s="301">
        <v>5118.9607711060562</v>
      </c>
      <c r="R272" s="301">
        <v>5138.9045787013893</v>
      </c>
      <c r="S272" s="610"/>
      <c r="T272" s="610"/>
      <c r="U272" s="610"/>
      <c r="V272" s="610"/>
      <c r="W272" s="610"/>
      <c r="X272" s="610"/>
      <c r="Y272" s="610"/>
      <c r="Z272" s="610"/>
      <c r="AA272" s="610"/>
      <c r="AB272" s="610"/>
      <c r="AC272" s="610"/>
      <c r="AD272" s="610"/>
      <c r="AE272" s="610"/>
      <c r="AF272" s="610"/>
      <c r="AG272" s="610"/>
    </row>
    <row r="274" spans="1:34">
      <c r="A274" s="262" t="s">
        <v>864</v>
      </c>
      <c r="B274" s="262"/>
      <c r="C274" s="262"/>
      <c r="D274" s="263"/>
      <c r="E274" s="264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</row>
    <row r="275" spans="1:34">
      <c r="B275" t="s">
        <v>840</v>
      </c>
      <c r="C275" s="301">
        <v>193.93170310215081</v>
      </c>
      <c r="D275" s="302">
        <v>212.52747294840691</v>
      </c>
      <c r="E275" s="303">
        <v>212.07483225790156</v>
      </c>
      <c r="F275" s="302">
        <v>244.91593676693529</v>
      </c>
      <c r="G275" s="301">
        <v>203.84454740246036</v>
      </c>
      <c r="H275" s="301">
        <v>210.68443278645836</v>
      </c>
      <c r="I275" s="301">
        <v>210.06717759790195</v>
      </c>
      <c r="J275" s="301">
        <v>208.45164873652155</v>
      </c>
      <c r="K275" s="301">
        <v>204.32688497940708</v>
      </c>
      <c r="L275" s="301">
        <v>209.2573017859591</v>
      </c>
      <c r="M275" s="301">
        <v>208.82968049177825</v>
      </c>
      <c r="N275" s="301">
        <v>211.01846387602558</v>
      </c>
      <c r="O275" s="301">
        <v>206.51734890292349</v>
      </c>
      <c r="P275" s="301">
        <v>206.10049834701059</v>
      </c>
      <c r="Q275" s="301">
        <v>210.80015039603128</v>
      </c>
      <c r="R275" s="301">
        <v>209.25335945840757</v>
      </c>
      <c r="S275" s="610"/>
      <c r="T275" s="610"/>
      <c r="U275" s="610"/>
      <c r="V275" s="610"/>
      <c r="W275" s="610"/>
      <c r="X275" s="610"/>
      <c r="Y275" s="610"/>
      <c r="Z275" s="610"/>
      <c r="AA275" s="610"/>
      <c r="AB275" s="610"/>
      <c r="AC275" s="610"/>
      <c r="AD275" s="610"/>
      <c r="AE275" s="610"/>
      <c r="AF275" s="610"/>
      <c r="AG275" s="610"/>
    </row>
    <row r="276" spans="1:34">
      <c r="B276" t="s">
        <v>844</v>
      </c>
      <c r="C276" s="301">
        <v>46.789493750903006</v>
      </c>
      <c r="D276" s="302">
        <v>55.869951716507188</v>
      </c>
      <c r="E276" s="303">
        <v>51.875961265148646</v>
      </c>
      <c r="F276" s="302">
        <v>60.56206319942612</v>
      </c>
      <c r="G276" s="301">
        <v>50.50826578720033</v>
      </c>
      <c r="H276" s="301">
        <v>47.264597019799012</v>
      </c>
      <c r="I276" s="301">
        <v>44.563989881255637</v>
      </c>
      <c r="J276" s="301">
        <v>42.432765805738313</v>
      </c>
      <c r="K276" s="301">
        <v>40.500711170901496</v>
      </c>
      <c r="L276" s="301">
        <v>42.258548512041074</v>
      </c>
      <c r="M276" s="301">
        <v>41.262830558839553</v>
      </c>
      <c r="N276" s="301">
        <v>40.737912608110946</v>
      </c>
      <c r="O276" s="301">
        <v>39.368586347302909</v>
      </c>
      <c r="P276" s="301">
        <v>38.436946326113073</v>
      </c>
      <c r="Q276" s="301">
        <v>38.521842084387345</v>
      </c>
      <c r="R276" s="301">
        <v>38.249372242866336</v>
      </c>
      <c r="S276" s="610"/>
      <c r="T276" s="610"/>
      <c r="U276" s="610"/>
      <c r="V276" s="610"/>
      <c r="W276" s="610"/>
      <c r="X276" s="610"/>
      <c r="Y276" s="610"/>
      <c r="Z276" s="610"/>
      <c r="AA276" s="610"/>
      <c r="AB276" s="610"/>
      <c r="AC276" s="610"/>
      <c r="AD276" s="610"/>
      <c r="AE276" s="610"/>
      <c r="AF276" s="610"/>
      <c r="AG276" s="610"/>
    </row>
    <row r="277" spans="1:34">
      <c r="B277" t="s">
        <v>845</v>
      </c>
      <c r="C277" s="301">
        <v>12.078818900771001</v>
      </c>
      <c r="D277" s="302">
        <v>14.7975907023564</v>
      </c>
      <c r="E277" s="303">
        <v>14.012421361054226</v>
      </c>
      <c r="F277" s="302">
        <v>8.3081403628181505</v>
      </c>
      <c r="G277" s="301">
        <v>11.325007506282512</v>
      </c>
      <c r="H277" s="301">
        <v>11.195658313355818</v>
      </c>
      <c r="I277" s="301">
        <v>11.084755990169947</v>
      </c>
      <c r="J277" s="301">
        <v>10.976340326480603</v>
      </c>
      <c r="K277" s="301">
        <v>10.848833735876749</v>
      </c>
      <c r="L277" s="301">
        <v>11.035376009333806</v>
      </c>
      <c r="M277" s="301">
        <v>10.886771860234726</v>
      </c>
      <c r="N277" s="301">
        <v>10.807678674442577</v>
      </c>
      <c r="O277" s="301">
        <v>10.727688170040121</v>
      </c>
      <c r="P277" s="301">
        <v>10.564097553259666</v>
      </c>
      <c r="Q277" s="301">
        <v>10.822372074516675</v>
      </c>
      <c r="R277" s="301">
        <v>10.827874438838531</v>
      </c>
      <c r="S277" s="610"/>
      <c r="T277" s="610"/>
      <c r="U277" s="610"/>
      <c r="V277" s="610"/>
      <c r="W277" s="610"/>
      <c r="X277" s="610"/>
      <c r="Y277" s="610"/>
      <c r="Z277" s="610"/>
      <c r="AA277" s="610"/>
      <c r="AB277" s="610"/>
      <c r="AC277" s="610"/>
      <c r="AD277" s="610"/>
      <c r="AE277" s="610"/>
      <c r="AF277" s="610"/>
      <c r="AG277" s="610"/>
    </row>
    <row r="278" spans="1:34">
      <c r="B278" t="s">
        <v>846</v>
      </c>
      <c r="C278" s="301">
        <v>3.6931833139709234</v>
      </c>
      <c r="D278" s="302">
        <v>4.779597229561622</v>
      </c>
      <c r="E278" s="303">
        <v>5.062236173283603</v>
      </c>
      <c r="F278" s="302">
        <v>3.9739864129746851</v>
      </c>
      <c r="G278" s="301">
        <v>4.0848051721532723</v>
      </c>
      <c r="H278" s="301">
        <v>4.0454914596014726</v>
      </c>
      <c r="I278" s="301">
        <v>3.8514038592740327</v>
      </c>
      <c r="J278" s="301">
        <v>3.6817082085210164</v>
      </c>
      <c r="K278" s="301">
        <v>3.5878474922737587</v>
      </c>
      <c r="L278" s="301">
        <v>3.5732261862745589</v>
      </c>
      <c r="M278" s="301">
        <v>3.5767881695221817</v>
      </c>
      <c r="N278" s="301">
        <v>3.6184246103225868</v>
      </c>
      <c r="O278" s="301">
        <v>3.5930933873017361</v>
      </c>
      <c r="P278" s="301">
        <v>3.5664831873079073</v>
      </c>
      <c r="Q278" s="301">
        <v>3.2910047767206962</v>
      </c>
      <c r="R278" s="301">
        <v>3.2834254086216825</v>
      </c>
      <c r="S278" s="610"/>
      <c r="T278" s="610"/>
      <c r="U278" s="610"/>
      <c r="V278" s="610"/>
      <c r="W278" s="610"/>
      <c r="X278" s="610"/>
      <c r="Y278" s="610"/>
      <c r="Z278" s="610"/>
      <c r="AA278" s="610"/>
      <c r="AB278" s="610"/>
      <c r="AC278" s="610"/>
      <c r="AD278" s="610"/>
      <c r="AE278" s="610"/>
      <c r="AF278" s="610"/>
      <c r="AG278" s="610"/>
    </row>
    <row r="279" spans="1:34">
      <c r="B279" t="s">
        <v>863</v>
      </c>
      <c r="C279" s="301">
        <v>3.5428760067355354</v>
      </c>
      <c r="D279" s="302">
        <v>3.2064342997110749</v>
      </c>
      <c r="E279" s="303">
        <v>3.7100429630831897</v>
      </c>
      <c r="F279" s="302">
        <v>3.3715748527325835</v>
      </c>
      <c r="G279" s="301">
        <v>3.372206981596328</v>
      </c>
      <c r="H279" s="301">
        <v>3.2554136955503461</v>
      </c>
      <c r="I279" s="301">
        <v>3.0052240164473587</v>
      </c>
      <c r="J279" s="301">
        <v>2.7862286909360838</v>
      </c>
      <c r="K279" s="301">
        <v>2.6471268123914085</v>
      </c>
      <c r="L279" s="301">
        <v>2.5909502014979999</v>
      </c>
      <c r="M279" s="301">
        <v>2.5592300102236836</v>
      </c>
      <c r="N279" s="301">
        <v>2.5694883700412996</v>
      </c>
      <c r="O279" s="301">
        <v>2.5229254784529829</v>
      </c>
      <c r="P279" s="301">
        <v>2.4799855343161799</v>
      </c>
      <c r="Q279" s="301">
        <v>2.2133848025776239</v>
      </c>
      <c r="R279" s="301">
        <v>2.1990762975280393</v>
      </c>
      <c r="S279" s="610"/>
      <c r="T279" s="610"/>
      <c r="U279" s="610"/>
      <c r="V279" s="610"/>
      <c r="W279" s="610"/>
      <c r="X279" s="610"/>
      <c r="Y279" s="610"/>
      <c r="Z279" s="610"/>
      <c r="AA279" s="610"/>
      <c r="AB279" s="610"/>
      <c r="AC279" s="610"/>
      <c r="AD279" s="610"/>
      <c r="AE279" s="610"/>
      <c r="AF279" s="610"/>
      <c r="AG279" s="610"/>
    </row>
    <row r="280" spans="1:34">
      <c r="B280" t="s">
        <v>848</v>
      </c>
      <c r="C280" s="301">
        <v>0.2338463674224894</v>
      </c>
      <c r="D280" s="302">
        <v>0.37675785669704781</v>
      </c>
      <c r="E280" s="303">
        <v>0.4319020532785095</v>
      </c>
      <c r="F280" s="302">
        <v>1.2088648466850507</v>
      </c>
      <c r="G280" s="301">
        <v>0.65798462606247021</v>
      </c>
      <c r="H280" s="301">
        <v>0.61855613591074787</v>
      </c>
      <c r="I280" s="301">
        <v>0.59138899821848434</v>
      </c>
      <c r="J280" s="301">
        <v>0.55486204224869851</v>
      </c>
      <c r="K280" s="301">
        <v>0.52456935920680292</v>
      </c>
      <c r="L280" s="301">
        <v>0.51301909024801051</v>
      </c>
      <c r="M280" s="301">
        <v>0.50333542475534621</v>
      </c>
      <c r="N280" s="301">
        <v>0.49684272909110977</v>
      </c>
      <c r="O280" s="301">
        <v>0.49194225165321881</v>
      </c>
      <c r="P280" s="301">
        <v>0.48932975505519216</v>
      </c>
      <c r="Q280" s="301">
        <v>0.48099537225433298</v>
      </c>
      <c r="R280" s="301">
        <v>0.48797832032429916</v>
      </c>
      <c r="S280" s="610"/>
      <c r="T280" s="610"/>
      <c r="U280" s="610"/>
      <c r="V280" s="610"/>
      <c r="W280" s="610"/>
      <c r="X280" s="610"/>
      <c r="Y280" s="610"/>
      <c r="Z280" s="610"/>
      <c r="AA280" s="610"/>
      <c r="AB280" s="610"/>
      <c r="AC280" s="610"/>
      <c r="AD280" s="610"/>
      <c r="AE280" s="610"/>
      <c r="AF280" s="610"/>
      <c r="AG280" s="610"/>
    </row>
    <row r="281" spans="1:34">
      <c r="B281" t="s">
        <v>150</v>
      </c>
      <c r="C281" s="301">
        <v>260.26992144195373</v>
      </c>
      <c r="D281" s="302">
        <v>291.55780475324019</v>
      </c>
      <c r="E281" s="303">
        <v>287.16739607374979</v>
      </c>
      <c r="F281" s="302">
        <v>322.34056644157187</v>
      </c>
      <c r="G281" s="301">
        <v>273.79281747575527</v>
      </c>
      <c r="H281" s="301">
        <v>277.06414941067578</v>
      </c>
      <c r="I281" s="301">
        <v>273.16394034326737</v>
      </c>
      <c r="J281" s="301">
        <v>268.88355381044624</v>
      </c>
      <c r="K281" s="301">
        <v>262.43597355005733</v>
      </c>
      <c r="L281" s="301">
        <v>269.22842178535456</v>
      </c>
      <c r="M281" s="301">
        <v>267.61863651535373</v>
      </c>
      <c r="N281" s="301">
        <v>269.24881086803407</v>
      </c>
      <c r="O281" s="301">
        <v>263.2215845376744</v>
      </c>
      <c r="P281" s="301">
        <v>261.63734070306259</v>
      </c>
      <c r="Q281" s="301">
        <v>266.12974950648794</v>
      </c>
      <c r="R281" s="301">
        <v>264.30108616658646</v>
      </c>
      <c r="S281" s="610"/>
      <c r="T281" s="610"/>
      <c r="U281" s="610"/>
      <c r="V281" s="610"/>
      <c r="W281" s="610"/>
      <c r="X281" s="610"/>
      <c r="Y281" s="610"/>
      <c r="Z281" s="610"/>
      <c r="AA281" s="610"/>
      <c r="AB281" s="610"/>
      <c r="AC281" s="610"/>
      <c r="AD281" s="610"/>
      <c r="AE281" s="610"/>
      <c r="AF281" s="610"/>
      <c r="AG281" s="610"/>
    </row>
    <row r="284" spans="1:34" ht="19.5" customHeight="1">
      <c r="A284" s="265" t="s">
        <v>865</v>
      </c>
      <c r="B284" s="266"/>
      <c r="C284" s="267"/>
      <c r="D284" s="267"/>
      <c r="E284" s="268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</row>
    <row r="286" spans="1:34">
      <c r="A286" s="262" t="s">
        <v>866</v>
      </c>
      <c r="B286" s="262"/>
      <c r="C286" s="262">
        <v>2020</v>
      </c>
      <c r="D286" s="263">
        <v>2021</v>
      </c>
      <c r="E286" s="264">
        <v>2022</v>
      </c>
      <c r="F286" s="262">
        <v>2023</v>
      </c>
      <c r="G286" s="262">
        <v>2024</v>
      </c>
      <c r="H286" s="262">
        <v>2025</v>
      </c>
      <c r="I286" s="262">
        <v>2026</v>
      </c>
      <c r="J286" s="262">
        <v>2027</v>
      </c>
      <c r="K286" s="262">
        <v>2028</v>
      </c>
      <c r="L286" s="262">
        <v>2029</v>
      </c>
      <c r="M286" s="262">
        <v>2030</v>
      </c>
      <c r="N286" s="262">
        <v>2031</v>
      </c>
      <c r="O286" s="262">
        <v>2032</v>
      </c>
      <c r="P286" s="262">
        <v>2033</v>
      </c>
      <c r="Q286" s="262">
        <v>2034</v>
      </c>
      <c r="R286" s="262">
        <v>2035</v>
      </c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</row>
    <row r="287" spans="1:34">
      <c r="A287" t="s">
        <v>867</v>
      </c>
      <c r="B287" t="s">
        <v>150</v>
      </c>
      <c r="C287" s="275">
        <v>21713.130009633169</v>
      </c>
      <c r="D287" s="277">
        <v>21542.242017403707</v>
      </c>
      <c r="E287" s="276">
        <v>21462.145482953547</v>
      </c>
      <c r="F287" s="277">
        <v>21197.371037332487</v>
      </c>
      <c r="G287" s="275">
        <v>21198.039889462354</v>
      </c>
      <c r="H287" s="275">
        <v>20985.207746824399</v>
      </c>
      <c r="I287" s="275">
        <v>20876.139800543766</v>
      </c>
      <c r="J287" s="275">
        <v>20843.118079962427</v>
      </c>
      <c r="K287" s="275">
        <v>20877.830473681668</v>
      </c>
      <c r="L287" s="275">
        <v>20831.981781779683</v>
      </c>
      <c r="M287" s="275">
        <v>20701.916867514195</v>
      </c>
      <c r="N287" s="275">
        <v>20067.415047497096</v>
      </c>
      <c r="O287" s="275">
        <v>19498.252257361641</v>
      </c>
      <c r="P287" s="275">
        <v>18824.795165276886</v>
      </c>
      <c r="Q287" s="275">
        <v>18241.455419716251</v>
      </c>
      <c r="R287" s="275">
        <v>17655.414506899957</v>
      </c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F287" s="311"/>
      <c r="AG287" s="311"/>
      <c r="AH287" s="34"/>
    </row>
    <row r="288" spans="1:34">
      <c r="B288" t="s">
        <v>868</v>
      </c>
      <c r="C288" s="275">
        <v>15875.056279181597</v>
      </c>
      <c r="D288" s="277">
        <v>15841.439999052163</v>
      </c>
      <c r="E288" s="276">
        <v>15833.16</v>
      </c>
      <c r="F288" s="277">
        <v>15599.703925933802</v>
      </c>
      <c r="G288" s="275">
        <v>15489.015039080456</v>
      </c>
      <c r="H288" s="275">
        <v>15328.12976959831</v>
      </c>
      <c r="I288" s="275">
        <v>15246.682461590321</v>
      </c>
      <c r="J288" s="275">
        <v>15225.359080808672</v>
      </c>
      <c r="K288" s="275">
        <v>15269.652437776131</v>
      </c>
      <c r="L288" s="275">
        <v>15245.222431266107</v>
      </c>
      <c r="M288" s="275">
        <v>15122.741333552747</v>
      </c>
      <c r="N288" s="275">
        <v>14497.249745693987</v>
      </c>
      <c r="O288" s="275">
        <v>13944.143410643286</v>
      </c>
      <c r="P288" s="275">
        <v>13286.376752112306</v>
      </c>
      <c r="Q288" s="275">
        <v>12712.501309123067</v>
      </c>
      <c r="R288" s="275">
        <v>12136.35782859742</v>
      </c>
      <c r="S288" s="311"/>
      <c r="T288" s="311"/>
      <c r="U288" s="311"/>
      <c r="V288" s="311"/>
      <c r="W288" s="311"/>
      <c r="X288" s="311"/>
      <c r="Y288" s="311"/>
      <c r="Z288" s="311"/>
      <c r="AA288" s="311"/>
      <c r="AB288" s="311"/>
      <c r="AC288" s="311"/>
      <c r="AD288" s="311"/>
      <c r="AE288" s="311"/>
      <c r="AF288" s="311"/>
      <c r="AG288" s="311"/>
      <c r="AH288" s="34"/>
    </row>
    <row r="289" spans="1:34">
      <c r="B289" t="s">
        <v>869</v>
      </c>
      <c r="C289" s="275">
        <v>1616.2353830552174</v>
      </c>
      <c r="D289" s="277">
        <v>1612.6810238612081</v>
      </c>
      <c r="E289" s="276">
        <v>1611.5354225512938</v>
      </c>
      <c r="F289" s="277">
        <v>1588.5224718144757</v>
      </c>
      <c r="G289" s="275">
        <v>1579.6163796189489</v>
      </c>
      <c r="H289" s="275">
        <v>1562.4990530019422</v>
      </c>
      <c r="I289" s="275">
        <v>1554.4256860912135</v>
      </c>
      <c r="J289" s="275">
        <v>1552.8710896977116</v>
      </c>
      <c r="K289" s="275">
        <v>1545.7184424974296</v>
      </c>
      <c r="L289" s="275">
        <v>1545.3800942665282</v>
      </c>
      <c r="M289" s="275">
        <v>1547.6588990874084</v>
      </c>
      <c r="N289" s="275">
        <v>1547.5636598825479</v>
      </c>
      <c r="O289" s="275">
        <v>1537.0676860194917</v>
      </c>
      <c r="P289" s="275">
        <v>1534.2470108847676</v>
      </c>
      <c r="Q289" s="275">
        <v>1533.7885738582734</v>
      </c>
      <c r="R289" s="275">
        <v>1533.1828931183954</v>
      </c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  <c r="AC289" s="311"/>
      <c r="AD289" s="311"/>
      <c r="AE289" s="311"/>
      <c r="AF289" s="311"/>
      <c r="AG289" s="311"/>
      <c r="AH289" s="34"/>
    </row>
    <row r="290" spans="1:34">
      <c r="B290" t="s">
        <v>870</v>
      </c>
      <c r="C290" s="275">
        <v>2475.9797648158051</v>
      </c>
      <c r="D290" s="277">
        <v>2476.6881176145803</v>
      </c>
      <c r="E290" s="276">
        <v>2565.656455081843</v>
      </c>
      <c r="F290" s="277">
        <v>2487.1184722034354</v>
      </c>
      <c r="G290" s="275">
        <v>2471.3112742406697</v>
      </c>
      <c r="H290" s="275">
        <v>2448.1707356838574</v>
      </c>
      <c r="I290" s="275">
        <v>2434.2877348973511</v>
      </c>
      <c r="J290" s="275">
        <v>2428.402653989137</v>
      </c>
      <c r="K290" s="275">
        <v>2433.7411967611115</v>
      </c>
      <c r="L290" s="275">
        <v>2429.9729912015309</v>
      </c>
      <c r="M290" s="275">
        <v>2430.0963997479889</v>
      </c>
      <c r="N290" s="275">
        <v>2431.1085105478396</v>
      </c>
      <c r="O290" s="275">
        <v>2435.2775744834221</v>
      </c>
      <c r="P290" s="275">
        <v>2431.8598758719986</v>
      </c>
      <c r="Q290" s="275">
        <v>2432.3692492999903</v>
      </c>
      <c r="R290" s="275">
        <v>2432.678854923483</v>
      </c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  <c r="AC290" s="311"/>
      <c r="AD290" s="311"/>
      <c r="AE290" s="311"/>
      <c r="AF290" s="311"/>
      <c r="AG290" s="311"/>
      <c r="AH290" s="34"/>
    </row>
    <row r="291" spans="1:34">
      <c r="B291" t="s">
        <v>871</v>
      </c>
      <c r="C291" s="275">
        <v>1107.5030559412014</v>
      </c>
      <c r="D291" s="277">
        <v>1001.7212587222099</v>
      </c>
      <c r="E291" s="276">
        <v>893.78519845993742</v>
      </c>
      <c r="F291" s="277">
        <v>876.32260636623391</v>
      </c>
      <c r="G291" s="275">
        <v>1004.8081208855476</v>
      </c>
      <c r="H291" s="275">
        <v>995.71598223926935</v>
      </c>
      <c r="I291" s="275">
        <v>990.42733319044407</v>
      </c>
      <c r="J291" s="275">
        <v>986.20935784759308</v>
      </c>
      <c r="K291" s="275">
        <v>979.80526139465815</v>
      </c>
      <c r="L291" s="275">
        <v>966.38932179309825</v>
      </c>
      <c r="M291" s="275">
        <v>958.3701867575636</v>
      </c>
      <c r="N291" s="275">
        <v>950.35894570025994</v>
      </c>
      <c r="O291" s="275">
        <v>942.64809841561544</v>
      </c>
      <c r="P291" s="275">
        <v>935.22627165822348</v>
      </c>
      <c r="Q291" s="275">
        <v>927.73841388245944</v>
      </c>
      <c r="R291" s="275">
        <v>920.1989851258021</v>
      </c>
      <c r="S291" s="311"/>
      <c r="T291" s="311"/>
      <c r="U291" s="311"/>
      <c r="V291" s="311"/>
      <c r="W291" s="311"/>
      <c r="X291" s="311"/>
      <c r="Y291" s="311"/>
      <c r="Z291" s="311"/>
      <c r="AA291" s="311"/>
      <c r="AB291" s="311"/>
      <c r="AC291" s="311"/>
      <c r="AD291" s="311"/>
      <c r="AE291" s="311"/>
      <c r="AF291" s="311"/>
      <c r="AG291" s="311"/>
      <c r="AH291" s="34"/>
    </row>
    <row r="292" spans="1:34">
      <c r="B292" t="s">
        <v>872</v>
      </c>
      <c r="C292" s="275">
        <v>364.13118876565466</v>
      </c>
      <c r="D292" s="277">
        <v>371.54502783817583</v>
      </c>
      <c r="E292" s="276">
        <v>259.57736522062635</v>
      </c>
      <c r="F292" s="277">
        <v>347.27251937469441</v>
      </c>
      <c r="G292" s="275">
        <v>354.85803399688638</v>
      </c>
      <c r="H292" s="275">
        <v>352.26116466117196</v>
      </c>
      <c r="I292" s="275">
        <v>351.90417114199369</v>
      </c>
      <c r="J292" s="275">
        <v>351.88334162924389</v>
      </c>
      <c r="K292" s="275">
        <v>350.54045774878938</v>
      </c>
      <c r="L292" s="275">
        <v>346.66187148954197</v>
      </c>
      <c r="M292" s="275">
        <v>344.7128034737587</v>
      </c>
      <c r="N292" s="275">
        <v>342.81370773404529</v>
      </c>
      <c r="O292" s="275">
        <v>340.80951271911874</v>
      </c>
      <c r="P292" s="275">
        <v>338.79105245735724</v>
      </c>
      <c r="Q292" s="275">
        <v>336.77239387767946</v>
      </c>
      <c r="R292" s="275">
        <v>334.7161929313778</v>
      </c>
      <c r="S292" s="311"/>
      <c r="T292" s="311"/>
      <c r="U292" s="311"/>
      <c r="V292" s="311"/>
      <c r="W292" s="311"/>
      <c r="X292" s="311"/>
      <c r="Y292" s="311"/>
      <c r="Z292" s="311"/>
      <c r="AA292" s="311"/>
      <c r="AB292" s="311"/>
      <c r="AC292" s="311"/>
      <c r="AD292" s="311"/>
      <c r="AE292" s="311"/>
      <c r="AF292" s="311"/>
      <c r="AG292" s="311"/>
      <c r="AH292" s="34"/>
    </row>
    <row r="293" spans="1:34">
      <c r="B293" t="s">
        <v>873</v>
      </c>
      <c r="C293" s="275">
        <v>274.22433787369482</v>
      </c>
      <c r="D293" s="277">
        <v>238.16659031537003</v>
      </c>
      <c r="E293" s="276">
        <v>298.43104163984685</v>
      </c>
      <c r="F293" s="277">
        <v>298.43104163984685</v>
      </c>
      <c r="G293" s="275">
        <v>298.43104163984685</v>
      </c>
      <c r="H293" s="275">
        <v>298.43104163984685</v>
      </c>
      <c r="I293" s="275">
        <v>298.41241363244114</v>
      </c>
      <c r="J293" s="275">
        <v>298.39255599006952</v>
      </c>
      <c r="K293" s="275">
        <v>298.37267750354908</v>
      </c>
      <c r="L293" s="275">
        <v>298.35507176287632</v>
      </c>
      <c r="M293" s="275">
        <v>298.33724489473008</v>
      </c>
      <c r="N293" s="275">
        <v>298.32047793841861</v>
      </c>
      <c r="O293" s="275">
        <v>298.3059750807098</v>
      </c>
      <c r="P293" s="275">
        <v>298.29420229223513</v>
      </c>
      <c r="Q293" s="275">
        <v>298.28547967478318</v>
      </c>
      <c r="R293" s="275">
        <v>298.27975220347656</v>
      </c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  <c r="AC293" s="311"/>
      <c r="AD293" s="311"/>
      <c r="AE293" s="311"/>
      <c r="AF293" s="311"/>
      <c r="AG293" s="311"/>
      <c r="AH293" s="34"/>
    </row>
    <row r="294" spans="1:34">
      <c r="A294" t="s">
        <v>874</v>
      </c>
      <c r="B294" t="s">
        <v>150</v>
      </c>
      <c r="C294" s="275">
        <v>19274.708528261228</v>
      </c>
      <c r="D294" s="277">
        <v>18918.895953797641</v>
      </c>
      <c r="E294" s="276">
        <v>18232.606083947001</v>
      </c>
      <c r="F294" s="277">
        <v>17773.425195620621</v>
      </c>
      <c r="G294" s="275">
        <v>17278.43591438486</v>
      </c>
      <c r="H294" s="275">
        <v>17096.483085283555</v>
      </c>
      <c r="I294" s="275">
        <v>16976.521934914199</v>
      </c>
      <c r="J294" s="275">
        <v>16830.688112205247</v>
      </c>
      <c r="K294" s="275">
        <v>16783.406027769855</v>
      </c>
      <c r="L294" s="275">
        <v>16679.952420404607</v>
      </c>
      <c r="M294" s="275">
        <v>16620.683710390716</v>
      </c>
      <c r="N294" s="275">
        <v>16529.936913976304</v>
      </c>
      <c r="O294" s="275">
        <v>16489.773648007431</v>
      </c>
      <c r="P294" s="275">
        <v>16327.886881980823</v>
      </c>
      <c r="Q294" s="275">
        <v>16186.795270149292</v>
      </c>
      <c r="R294" s="275">
        <v>16062.14057532253</v>
      </c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  <c r="AC294" s="311"/>
      <c r="AD294" s="311"/>
      <c r="AE294" s="311"/>
      <c r="AF294" s="311"/>
      <c r="AG294" s="311"/>
      <c r="AH294" s="34"/>
    </row>
    <row r="295" spans="1:34">
      <c r="B295" t="s">
        <v>868</v>
      </c>
      <c r="C295" s="275">
        <v>16655.934086564135</v>
      </c>
      <c r="D295" s="277">
        <v>16384.674068252309</v>
      </c>
      <c r="E295" s="276">
        <v>15777.16</v>
      </c>
      <c r="F295" s="277">
        <v>15367.658910545857</v>
      </c>
      <c r="G295" s="275">
        <v>14895.638114018533</v>
      </c>
      <c r="H295" s="275">
        <v>14725.938252059606</v>
      </c>
      <c r="I295" s="275">
        <v>14622.206637509902</v>
      </c>
      <c r="J295" s="275">
        <v>14494.903292111485</v>
      </c>
      <c r="K295" s="275">
        <v>14457.211201688937</v>
      </c>
      <c r="L295" s="275">
        <v>14362.179362143173</v>
      </c>
      <c r="M295" s="275">
        <v>14315.189171331896</v>
      </c>
      <c r="N295" s="275">
        <v>14239.729176698949</v>
      </c>
      <c r="O295" s="275">
        <v>14209.406016487796</v>
      </c>
      <c r="P295" s="275">
        <v>14068.940732358655</v>
      </c>
      <c r="Q295" s="275">
        <v>13944.575720152732</v>
      </c>
      <c r="R295" s="275">
        <v>13837.580221467695</v>
      </c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  <c r="AC295" s="311"/>
      <c r="AD295" s="311"/>
      <c r="AE295" s="311"/>
      <c r="AF295" s="311"/>
      <c r="AG295" s="311"/>
      <c r="AH295" s="34"/>
    </row>
    <row r="296" spans="1:34">
      <c r="B296" t="s">
        <v>869</v>
      </c>
      <c r="C296" s="275">
        <v>204.14274752502459</v>
      </c>
      <c r="D296" s="277">
        <v>201.04406766058949</v>
      </c>
      <c r="E296" s="276">
        <v>188.50458930338084</v>
      </c>
      <c r="F296" s="277">
        <v>188.5395216541219</v>
      </c>
      <c r="G296" s="275">
        <v>183.03760463954262</v>
      </c>
      <c r="H296" s="275">
        <v>180.45287282955641</v>
      </c>
      <c r="I296" s="275">
        <v>179.17013029276117</v>
      </c>
      <c r="J296" s="275">
        <v>177.72686289951949</v>
      </c>
      <c r="K296" s="275">
        <v>177.56341621912253</v>
      </c>
      <c r="L296" s="275">
        <v>176.38911278458352</v>
      </c>
      <c r="M296" s="275">
        <v>175.8528220761375</v>
      </c>
      <c r="N296" s="275">
        <v>174.9978817562436</v>
      </c>
      <c r="O296" s="275">
        <v>174.7929730502764</v>
      </c>
      <c r="P296" s="275">
        <v>173.04958017406022</v>
      </c>
      <c r="Q296" s="275">
        <v>171.94314102499609</v>
      </c>
      <c r="R296" s="275">
        <v>170.75207230613699</v>
      </c>
      <c r="S296" s="311"/>
      <c r="T296" s="311"/>
      <c r="U296" s="311"/>
      <c r="V296" s="311"/>
      <c r="W296" s="311"/>
      <c r="X296" s="311"/>
      <c r="Y296" s="311"/>
      <c r="Z296" s="311"/>
      <c r="AA296" s="311"/>
      <c r="AB296" s="311"/>
      <c r="AC296" s="311"/>
      <c r="AD296" s="311"/>
      <c r="AE296" s="311"/>
      <c r="AF296" s="311"/>
      <c r="AG296" s="311"/>
      <c r="AH296" s="34"/>
    </row>
    <row r="297" spans="1:34">
      <c r="B297" t="s">
        <v>870</v>
      </c>
      <c r="C297" s="275">
        <v>1766.4051005097085</v>
      </c>
      <c r="D297" s="277">
        <v>1734.9443575856233</v>
      </c>
      <c r="E297" s="276">
        <v>1733.7850895367981</v>
      </c>
      <c r="F297" s="277">
        <v>1659.7898153061658</v>
      </c>
      <c r="G297" s="275">
        <v>1609.0826162273111</v>
      </c>
      <c r="H297" s="275">
        <v>1592.63467201003</v>
      </c>
      <c r="I297" s="275">
        <v>1581.3173060722443</v>
      </c>
      <c r="J297" s="275">
        <v>1569.1023311950537</v>
      </c>
      <c r="K297" s="275">
        <v>1567.0586812879535</v>
      </c>
      <c r="L297" s="275">
        <v>1558.443486685255</v>
      </c>
      <c r="M297" s="275">
        <v>1553.6106571714281</v>
      </c>
      <c r="N297" s="275">
        <v>1545.7175458103461</v>
      </c>
      <c r="O297" s="275">
        <v>1542.2690796623131</v>
      </c>
      <c r="P297" s="275">
        <v>1528.4503029108389</v>
      </c>
      <c r="Q297" s="275">
        <v>1518.5250815928739</v>
      </c>
      <c r="R297" s="275">
        <v>1507.6287806653386</v>
      </c>
      <c r="S297" s="311"/>
      <c r="T297" s="311"/>
      <c r="U297" s="311"/>
      <c r="V297" s="311"/>
      <c r="W297" s="311"/>
      <c r="X297" s="311"/>
      <c r="Y297" s="311"/>
      <c r="Z297" s="311"/>
      <c r="AA297" s="311"/>
      <c r="AB297" s="311"/>
      <c r="AC297" s="311"/>
      <c r="AD297" s="311"/>
      <c r="AE297" s="311"/>
      <c r="AF297" s="311"/>
      <c r="AG297" s="311"/>
      <c r="AH297" s="34"/>
    </row>
    <row r="298" spans="1:34">
      <c r="B298" t="s">
        <v>871</v>
      </c>
      <c r="C298" s="275">
        <v>410.50872784527206</v>
      </c>
      <c r="D298" s="277">
        <v>371.28378551134642</v>
      </c>
      <c r="E298" s="276">
        <v>326.51108616500494</v>
      </c>
      <c r="F298" s="277">
        <v>319.14608875749957</v>
      </c>
      <c r="G298" s="275">
        <v>353.88214993754241</v>
      </c>
      <c r="H298" s="275">
        <v>358.72892484207034</v>
      </c>
      <c r="I298" s="275">
        <v>355.65152595313759</v>
      </c>
      <c r="J298" s="275">
        <v>351.67325001474524</v>
      </c>
      <c r="K298" s="275">
        <v>345.99215285867109</v>
      </c>
      <c r="L298" s="275">
        <v>346.76090894796278</v>
      </c>
      <c r="M298" s="275">
        <v>341.4373823244498</v>
      </c>
      <c r="N298" s="275">
        <v>336.37724541064694</v>
      </c>
      <c r="O298" s="275">
        <v>331.63362046007057</v>
      </c>
      <c r="P298" s="275">
        <v>327.16260735280298</v>
      </c>
      <c r="Q298" s="275">
        <v>322.80725748133699</v>
      </c>
      <c r="R298" s="275">
        <v>318.54806163897473</v>
      </c>
      <c r="S298" s="311"/>
      <c r="T298" s="311"/>
      <c r="U298" s="311"/>
      <c r="V298" s="311"/>
      <c r="W298" s="311"/>
      <c r="X298" s="311"/>
      <c r="Y298" s="311"/>
      <c r="Z298" s="311"/>
      <c r="AA298" s="311"/>
      <c r="AB298" s="311"/>
      <c r="AC298" s="311"/>
      <c r="AD298" s="311"/>
      <c r="AE298" s="311"/>
      <c r="AF298" s="311"/>
      <c r="AG298" s="311"/>
      <c r="AH298" s="34"/>
    </row>
    <row r="299" spans="1:34">
      <c r="B299" t="s">
        <v>872</v>
      </c>
      <c r="C299" s="275">
        <v>134.96940732316276</v>
      </c>
      <c r="D299" s="277">
        <v>137.71160711877377</v>
      </c>
      <c r="E299" s="276">
        <v>94.826908756238367</v>
      </c>
      <c r="F299" s="277">
        <v>126.47244917139362</v>
      </c>
      <c r="G299" s="275">
        <v>124.97701937635077</v>
      </c>
      <c r="H299" s="275">
        <v>126.90995335671136</v>
      </c>
      <c r="I299" s="275">
        <v>126.3649045839274</v>
      </c>
      <c r="J299" s="275">
        <v>125.47838589453833</v>
      </c>
      <c r="K299" s="275">
        <v>123.78403384763547</v>
      </c>
      <c r="L299" s="275">
        <v>124.38960462877699</v>
      </c>
      <c r="M299" s="275">
        <v>122.81041177836261</v>
      </c>
      <c r="N299" s="275">
        <v>121.33808096226274</v>
      </c>
      <c r="O299" s="275">
        <v>119.90040905003912</v>
      </c>
      <c r="P299" s="275">
        <v>118.51652100536309</v>
      </c>
      <c r="Q299" s="275">
        <v>117.18019997483013</v>
      </c>
      <c r="R299" s="275">
        <v>115.86971533433154</v>
      </c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/>
      <c r="AC299" s="311"/>
      <c r="AD299" s="311"/>
      <c r="AE299" s="311"/>
      <c r="AF299" s="311"/>
      <c r="AG299" s="311"/>
      <c r="AH299" s="34"/>
    </row>
    <row r="300" spans="1:34">
      <c r="B300" t="s">
        <v>873</v>
      </c>
      <c r="C300" s="275">
        <v>102.74845849392437</v>
      </c>
      <c r="D300" s="277">
        <v>89.238067668995583</v>
      </c>
      <c r="E300" s="276">
        <v>111.81841018558195</v>
      </c>
      <c r="F300" s="277">
        <v>111.81841018558194</v>
      </c>
      <c r="G300" s="275">
        <v>111.81841018558195</v>
      </c>
      <c r="H300" s="275">
        <v>111.81841018558195</v>
      </c>
      <c r="I300" s="275">
        <v>111.81143050223002</v>
      </c>
      <c r="J300" s="275">
        <v>111.80399008990621</v>
      </c>
      <c r="K300" s="275">
        <v>111.79654186753831</v>
      </c>
      <c r="L300" s="275">
        <v>111.78994521485316</v>
      </c>
      <c r="M300" s="275">
        <v>111.78326570844611</v>
      </c>
      <c r="N300" s="275">
        <v>111.77698333785858</v>
      </c>
      <c r="O300" s="275">
        <v>111.77154929693835</v>
      </c>
      <c r="P300" s="275">
        <v>111.76713817910201</v>
      </c>
      <c r="Q300" s="275">
        <v>111.76386992251993</v>
      </c>
      <c r="R300" s="275">
        <v>111.76172391005295</v>
      </c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  <c r="AC300" s="311"/>
      <c r="AD300" s="311"/>
      <c r="AE300" s="311"/>
      <c r="AF300" s="311"/>
      <c r="AG300" s="311"/>
      <c r="AH300" s="34"/>
    </row>
    <row r="301" spans="1:34">
      <c r="A301" t="s">
        <v>875</v>
      </c>
      <c r="B301" t="s">
        <v>150</v>
      </c>
      <c r="C301" s="275">
        <v>1881.4092855918395</v>
      </c>
      <c r="D301" s="277">
        <v>1837.2496018320182</v>
      </c>
      <c r="E301" s="276">
        <v>1814.3718469517332</v>
      </c>
      <c r="F301" s="277">
        <v>1837.7424961196677</v>
      </c>
      <c r="G301" s="275">
        <v>1869.232465422034</v>
      </c>
      <c r="H301" s="275">
        <v>1870.2570873708544</v>
      </c>
      <c r="I301" s="275">
        <v>1872.0820942521202</v>
      </c>
      <c r="J301" s="275">
        <v>1872.5797731531447</v>
      </c>
      <c r="K301" s="275">
        <v>1874.3025534475232</v>
      </c>
      <c r="L301" s="275">
        <v>1873.2589854203954</v>
      </c>
      <c r="M301" s="275">
        <v>1872.7704915792428</v>
      </c>
      <c r="N301" s="275">
        <v>1872.3429356690208</v>
      </c>
      <c r="O301" s="275">
        <v>1873.6492566476052</v>
      </c>
      <c r="P301" s="275">
        <v>1871.6952804222924</v>
      </c>
      <c r="Q301" s="275">
        <v>1871.4593811390509</v>
      </c>
      <c r="R301" s="275">
        <v>1871.2471820419332</v>
      </c>
      <c r="S301" s="311"/>
      <c r="T301" s="311"/>
      <c r="U301" s="311"/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F301" s="311"/>
      <c r="AG301" s="311"/>
      <c r="AH301" s="34"/>
    </row>
    <row r="302" spans="1:34">
      <c r="B302" t="s">
        <v>868</v>
      </c>
      <c r="C302" s="275">
        <v>593.57574806374168</v>
      </c>
      <c r="D302" s="277">
        <v>586.324645703844</v>
      </c>
      <c r="E302" s="276">
        <v>555.99852844373288</v>
      </c>
      <c r="F302" s="277">
        <v>533.96653673674291</v>
      </c>
      <c r="G302" s="275">
        <v>541.06818077188495</v>
      </c>
      <c r="H302" s="275">
        <v>539.18148571728489</v>
      </c>
      <c r="I302" s="275">
        <v>537.77364530455316</v>
      </c>
      <c r="J302" s="275">
        <v>535.40515459354617</v>
      </c>
      <c r="K302" s="275">
        <v>535.8216802710898</v>
      </c>
      <c r="L302" s="275">
        <v>533.44267826931434</v>
      </c>
      <c r="M302" s="275">
        <v>532.66311977620285</v>
      </c>
      <c r="N302" s="275">
        <v>531.94406998810211</v>
      </c>
      <c r="O302" s="275">
        <v>532.79061293819848</v>
      </c>
      <c r="P302" s="275">
        <v>530.64452599733386</v>
      </c>
      <c r="Q302" s="275">
        <v>530.05654943628701</v>
      </c>
      <c r="R302" s="275">
        <v>529.50300804944538</v>
      </c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/>
      <c r="AD302" s="311"/>
      <c r="AE302" s="311"/>
      <c r="AF302" s="311"/>
      <c r="AG302" s="311"/>
      <c r="AH302" s="34"/>
    </row>
    <row r="303" spans="1:34">
      <c r="B303" t="s">
        <v>869</v>
      </c>
      <c r="C303" s="275">
        <v>88.71913291861128</v>
      </c>
      <c r="D303" s="277">
        <v>92.071964266532191</v>
      </c>
      <c r="E303" s="276">
        <v>88.920118212542192</v>
      </c>
      <c r="F303" s="277">
        <v>90.739934641665172</v>
      </c>
      <c r="G303" s="275">
        <v>91.406829937649334</v>
      </c>
      <c r="H303" s="275">
        <v>91.947425553712577</v>
      </c>
      <c r="I303" s="275">
        <v>92.492610499506043</v>
      </c>
      <c r="J303" s="275">
        <v>93.025262775095996</v>
      </c>
      <c r="K303" s="275">
        <v>93.597116798847182</v>
      </c>
      <c r="L303" s="275">
        <v>94.126632790168259</v>
      </c>
      <c r="M303" s="275">
        <v>94.680564615205853</v>
      </c>
      <c r="N303" s="275">
        <v>95.235740322790107</v>
      </c>
      <c r="O303" s="275">
        <v>95.815614940539177</v>
      </c>
      <c r="P303" s="275">
        <v>96.350523186474049</v>
      </c>
      <c r="Q303" s="275">
        <v>96.910295135554918</v>
      </c>
      <c r="R303" s="275">
        <v>97.471603687015488</v>
      </c>
      <c r="S303" s="311"/>
      <c r="T303" s="311"/>
      <c r="U303" s="311"/>
      <c r="V303" s="311"/>
      <c r="W303" s="311"/>
      <c r="X303" s="311"/>
      <c r="Y303" s="311"/>
      <c r="Z303" s="311"/>
      <c r="AA303" s="311"/>
      <c r="AB303" s="311"/>
      <c r="AC303" s="311"/>
      <c r="AD303" s="311"/>
      <c r="AE303" s="311"/>
      <c r="AF303" s="311"/>
      <c r="AG303" s="311"/>
      <c r="AH303" s="34"/>
    </row>
    <row r="304" spans="1:34">
      <c r="B304" t="s">
        <v>870</v>
      </c>
      <c r="C304" s="275">
        <v>993.11450403536173</v>
      </c>
      <c r="D304" s="277">
        <v>968.24596819651276</v>
      </c>
      <c r="E304" s="276">
        <v>1001.6766110726932</v>
      </c>
      <c r="F304" s="277">
        <v>1038.1742807649102</v>
      </c>
      <c r="G304" s="275">
        <v>1040.8088729611095</v>
      </c>
      <c r="H304" s="275">
        <v>1042.5196342809145</v>
      </c>
      <c r="I304" s="275">
        <v>1044.1375501260784</v>
      </c>
      <c r="J304" s="275">
        <v>1045.6163368074251</v>
      </c>
      <c r="K304" s="275">
        <v>1047.318680413392</v>
      </c>
      <c r="L304" s="275">
        <v>1048.8135466201843</v>
      </c>
      <c r="M304" s="275">
        <v>1048.6149414490587</v>
      </c>
      <c r="N304" s="275">
        <v>1048.4217566890729</v>
      </c>
      <c r="O304" s="275">
        <v>1048.3598277108131</v>
      </c>
      <c r="P304" s="275">
        <v>1048.0523156769023</v>
      </c>
      <c r="Q304" s="275">
        <v>1047.8998062363223</v>
      </c>
      <c r="R304" s="275">
        <v>1047.7581395805396</v>
      </c>
      <c r="S304" s="311"/>
      <c r="T304" s="311"/>
      <c r="U304" s="311"/>
      <c r="V304" s="311"/>
      <c r="W304" s="311"/>
      <c r="X304" s="311"/>
      <c r="Y304" s="311"/>
      <c r="Z304" s="311"/>
      <c r="AA304" s="311"/>
      <c r="AB304" s="311"/>
      <c r="AC304" s="311"/>
      <c r="AD304" s="311"/>
      <c r="AE304" s="311"/>
      <c r="AF304" s="311"/>
      <c r="AG304" s="311"/>
      <c r="AH304" s="34"/>
    </row>
    <row r="305" spans="1:34">
      <c r="B305" t="s">
        <v>871</v>
      </c>
      <c r="C305" s="275">
        <v>130.56646643722851</v>
      </c>
      <c r="D305" s="277">
        <v>118.44429515344423</v>
      </c>
      <c r="E305" s="276">
        <v>102.60359046605808</v>
      </c>
      <c r="F305" s="277">
        <v>99.899004969866496</v>
      </c>
      <c r="G305" s="275">
        <v>118.66609115704685</v>
      </c>
      <c r="H305" s="275">
        <v>119.09952485119918</v>
      </c>
      <c r="I305" s="275">
        <v>119.75612533870384</v>
      </c>
      <c r="J305" s="275">
        <v>120.25555587105768</v>
      </c>
      <c r="K305" s="275">
        <v>119.45923471398848</v>
      </c>
      <c r="L305" s="275">
        <v>118.86990650308744</v>
      </c>
      <c r="M305" s="275">
        <v>118.73958565917856</v>
      </c>
      <c r="N305" s="275">
        <v>118.59902966774357</v>
      </c>
      <c r="O305" s="275">
        <v>118.48574676049775</v>
      </c>
      <c r="P305" s="275">
        <v>118.39903556139653</v>
      </c>
      <c r="Q305" s="275">
        <v>118.29433841841103</v>
      </c>
      <c r="R305" s="275">
        <v>118.17326073539307</v>
      </c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4"/>
    </row>
    <row r="306" spans="1:34">
      <c r="B306" t="s">
        <v>872</v>
      </c>
      <c r="C306" s="275">
        <v>42.928389571182464</v>
      </c>
      <c r="D306" s="277">
        <v>43.931770996050467</v>
      </c>
      <c r="E306" s="276">
        <v>29.798624682135344</v>
      </c>
      <c r="F306" s="277">
        <v>39.588364931911904</v>
      </c>
      <c r="G306" s="275">
        <v>41.908116519772278</v>
      </c>
      <c r="H306" s="275">
        <v>42.134642893172007</v>
      </c>
      <c r="I306" s="275">
        <v>42.549996970236968</v>
      </c>
      <c r="J306" s="275">
        <v>42.907650908671918</v>
      </c>
      <c r="K306" s="275">
        <v>42.7383853393032</v>
      </c>
      <c r="L306" s="275">
        <v>42.640852214393185</v>
      </c>
      <c r="M306" s="275">
        <v>42.709024155237188</v>
      </c>
      <c r="N306" s="275">
        <v>42.781070539722606</v>
      </c>
      <c r="O306" s="275">
        <v>42.83790492494267</v>
      </c>
      <c r="P306" s="275">
        <v>42.890726109157711</v>
      </c>
      <c r="Q306" s="275">
        <v>42.941271952539822</v>
      </c>
      <c r="R306" s="275">
        <v>42.984728932547419</v>
      </c>
      <c r="S306" s="311"/>
      <c r="T306" s="311"/>
      <c r="U306" s="311"/>
      <c r="V306" s="311"/>
      <c r="W306" s="311"/>
      <c r="X306" s="311"/>
      <c r="Y306" s="311"/>
      <c r="Z306" s="311"/>
      <c r="AA306" s="311"/>
      <c r="AB306" s="311"/>
      <c r="AC306" s="311"/>
      <c r="AD306" s="311"/>
      <c r="AE306" s="311"/>
      <c r="AF306" s="311"/>
      <c r="AG306" s="311"/>
      <c r="AH306" s="34"/>
    </row>
    <row r="307" spans="1:34">
      <c r="B307" t="s">
        <v>873</v>
      </c>
      <c r="C307" s="275">
        <v>32.505044565714073</v>
      </c>
      <c r="D307" s="277">
        <v>28.230957515634458</v>
      </c>
      <c r="E307" s="276">
        <v>35.374374074571236</v>
      </c>
      <c r="F307" s="277">
        <v>35.374374074571236</v>
      </c>
      <c r="G307" s="275">
        <v>35.374374074571236</v>
      </c>
      <c r="H307" s="275">
        <v>35.374374074571236</v>
      </c>
      <c r="I307" s="275">
        <v>35.372166013041799</v>
      </c>
      <c r="J307" s="275">
        <v>35.369812197347457</v>
      </c>
      <c r="K307" s="275">
        <v>35.367455910902365</v>
      </c>
      <c r="L307" s="275">
        <v>35.365369023248192</v>
      </c>
      <c r="M307" s="275">
        <v>35.363255924359699</v>
      </c>
      <c r="N307" s="275">
        <v>35.361268461589752</v>
      </c>
      <c r="O307" s="275">
        <v>35.359549372613891</v>
      </c>
      <c r="P307" s="275">
        <v>35.358153891027534</v>
      </c>
      <c r="Q307" s="275">
        <v>35.357119959935915</v>
      </c>
      <c r="R307" s="275">
        <v>35.356441056992743</v>
      </c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  <c r="AC307" s="311"/>
      <c r="AD307" s="311"/>
      <c r="AE307" s="311"/>
      <c r="AF307" s="311"/>
      <c r="AG307" s="311"/>
      <c r="AH307" s="34"/>
    </row>
    <row r="308" spans="1:34">
      <c r="A308" t="s">
        <v>876</v>
      </c>
      <c r="B308" t="s">
        <v>876</v>
      </c>
      <c r="C308" s="275">
        <v>26.042088049734467</v>
      </c>
      <c r="D308" s="277">
        <v>24.401946411612322</v>
      </c>
      <c r="E308" s="276">
        <v>20.889348857469653</v>
      </c>
      <c r="F308" s="277">
        <v>20.889348857469653</v>
      </c>
      <c r="G308" s="275">
        <v>20.889348857469653</v>
      </c>
      <c r="H308" s="275">
        <v>20.889348857469653</v>
      </c>
      <c r="I308" s="275">
        <v>20.88804494838875</v>
      </c>
      <c r="J308" s="275">
        <v>20.886654968255627</v>
      </c>
      <c r="K308" s="275">
        <v>20.885263529089634</v>
      </c>
      <c r="L308" s="275">
        <v>20.884031175857256</v>
      </c>
      <c r="M308" s="275">
        <v>20.882783344312333</v>
      </c>
      <c r="N308" s="275">
        <v>20.881609703669106</v>
      </c>
      <c r="O308" s="275">
        <v>20.880594543676217</v>
      </c>
      <c r="P308" s="275">
        <v>20.879770480991176</v>
      </c>
      <c r="Q308" s="275">
        <v>20.879159921855297</v>
      </c>
      <c r="R308" s="275">
        <v>20.87875901467909</v>
      </c>
      <c r="S308" s="311"/>
      <c r="T308" s="311"/>
      <c r="U308" s="311"/>
      <c r="V308" s="311"/>
      <c r="W308" s="311"/>
      <c r="X308" s="311"/>
      <c r="Y308" s="311"/>
      <c r="Z308" s="311"/>
      <c r="AA308" s="311"/>
      <c r="AB308" s="311"/>
      <c r="AC308" s="311"/>
      <c r="AD308" s="311"/>
      <c r="AE308" s="311"/>
      <c r="AF308" s="311"/>
      <c r="AG308" s="311"/>
      <c r="AH308" s="34"/>
    </row>
    <row r="309" spans="1:34">
      <c r="A309" t="s">
        <v>877</v>
      </c>
      <c r="B309" t="s">
        <v>150</v>
      </c>
      <c r="C309" s="275">
        <v>42869.25742798276</v>
      </c>
      <c r="D309" s="275">
        <v>42320.552750999232</v>
      </c>
      <c r="E309" s="276">
        <v>41345.504468844381</v>
      </c>
      <c r="F309" s="277">
        <v>40604.314760286456</v>
      </c>
      <c r="G309" s="275">
        <v>39972.504130988651</v>
      </c>
      <c r="H309" s="275">
        <v>39605.623785565236</v>
      </c>
      <c r="I309" s="275">
        <v>39403.107980066154</v>
      </c>
      <c r="J309" s="275">
        <v>39254.616112724922</v>
      </c>
      <c r="K309" s="275">
        <v>39277.32304122021</v>
      </c>
      <c r="L309" s="275">
        <v>39166.732306191858</v>
      </c>
      <c r="M309" s="275">
        <v>38971.559832769119</v>
      </c>
      <c r="N309" s="275">
        <v>38243.642629082671</v>
      </c>
      <c r="O309" s="275">
        <v>37633.390222895017</v>
      </c>
      <c r="P309" s="275">
        <v>36794.99234863434</v>
      </c>
      <c r="Q309" s="275">
        <v>36065.504019836502</v>
      </c>
      <c r="R309" s="275">
        <v>35350.645213871321</v>
      </c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  <c r="AC309" s="311"/>
      <c r="AD309" s="311"/>
      <c r="AE309" s="311"/>
      <c r="AF309" s="311"/>
      <c r="AG309" s="311"/>
      <c r="AH309" s="34"/>
    </row>
    <row r="310" spans="1:34">
      <c r="C310">
        <v>0</v>
      </c>
      <c r="D310">
        <v>0</v>
      </c>
      <c r="E310" s="155">
        <v>0</v>
      </c>
      <c r="F310" s="164">
        <v>0</v>
      </c>
      <c r="G310" s="164">
        <v>0</v>
      </c>
      <c r="H310" s="164">
        <v>0</v>
      </c>
      <c r="I310" s="164">
        <v>0</v>
      </c>
      <c r="J310" s="164">
        <v>0</v>
      </c>
      <c r="K310" s="164">
        <v>0</v>
      </c>
      <c r="L310" s="164">
        <v>0</v>
      </c>
      <c r="M310" s="164">
        <v>0</v>
      </c>
      <c r="N310" s="164">
        <v>0</v>
      </c>
      <c r="O310" s="164">
        <v>0</v>
      </c>
      <c r="P310" s="164">
        <v>0</v>
      </c>
      <c r="Q310" s="164">
        <v>0</v>
      </c>
      <c r="R310" s="164">
        <v>0</v>
      </c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</row>
    <row r="311" spans="1:34">
      <c r="A311" s="262" t="s">
        <v>878</v>
      </c>
      <c r="B311" s="262"/>
      <c r="C311" s="262">
        <v>2020</v>
      </c>
      <c r="D311" s="263">
        <v>2021</v>
      </c>
      <c r="E311" s="264">
        <v>2022</v>
      </c>
      <c r="F311" s="263">
        <v>2023</v>
      </c>
      <c r="G311" s="263">
        <v>2024</v>
      </c>
      <c r="H311" s="263">
        <v>2025</v>
      </c>
      <c r="I311" s="263">
        <v>2026</v>
      </c>
      <c r="J311" s="263">
        <v>2027</v>
      </c>
      <c r="K311" s="263">
        <v>2028</v>
      </c>
      <c r="L311" s="263">
        <v>2029</v>
      </c>
      <c r="M311" s="263">
        <v>2030</v>
      </c>
      <c r="N311" s="263">
        <v>2031</v>
      </c>
      <c r="O311" s="263">
        <v>2032</v>
      </c>
      <c r="P311" s="263">
        <v>2033</v>
      </c>
      <c r="Q311" s="263">
        <v>2034</v>
      </c>
      <c r="R311" s="263">
        <v>2035</v>
      </c>
      <c r="S311" s="273"/>
      <c r="T311" s="273"/>
      <c r="U311" s="273"/>
      <c r="V311" s="273"/>
      <c r="W311" s="273"/>
      <c r="X311" s="273"/>
      <c r="Y311" s="273"/>
      <c r="Z311" s="273"/>
      <c r="AA311" s="273"/>
      <c r="AB311" s="273"/>
      <c r="AC311" s="273"/>
      <c r="AD311" s="273"/>
      <c r="AE311" s="273"/>
      <c r="AF311" s="273"/>
      <c r="AG311" s="273"/>
    </row>
    <row r="312" spans="1:34">
      <c r="A312" t="s">
        <v>150</v>
      </c>
      <c r="B312" t="s">
        <v>879</v>
      </c>
      <c r="C312" s="275">
        <v>925.47434304012484</v>
      </c>
      <c r="D312" s="275">
        <v>906.58725300726189</v>
      </c>
      <c r="E312" s="276">
        <v>645.31843069363458</v>
      </c>
      <c r="F312" s="277">
        <v>733.84384173421313</v>
      </c>
      <c r="G312" s="275">
        <v>573.27350865494009</v>
      </c>
      <c r="H312" s="275">
        <v>599.71610404000967</v>
      </c>
      <c r="I312" s="275">
        <v>623.89118825154867</v>
      </c>
      <c r="J312" s="275">
        <v>653.17922914562337</v>
      </c>
      <c r="K312" s="275">
        <v>683.49827500979029</v>
      </c>
      <c r="L312" s="275">
        <v>719.85780174500474</v>
      </c>
      <c r="M312" s="275">
        <v>711.02198587554051</v>
      </c>
      <c r="N312" s="275">
        <v>705.45771121047324</v>
      </c>
      <c r="O312" s="275">
        <v>699.81936677902365</v>
      </c>
      <c r="P312" s="275">
        <v>695.35304440759182</v>
      </c>
      <c r="Q312" s="275">
        <v>687.21512427234279</v>
      </c>
      <c r="R312" s="275">
        <v>679.93274496100298</v>
      </c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/>
      <c r="AE312" s="311"/>
      <c r="AF312" s="311"/>
      <c r="AG312" s="311"/>
    </row>
    <row r="313" spans="1:34">
      <c r="B313" t="s">
        <v>880</v>
      </c>
      <c r="C313" s="275">
        <v>6985.2744408355093</v>
      </c>
      <c r="D313" s="277">
        <v>6773.0369986216656</v>
      </c>
      <c r="E313" s="276">
        <v>6724.1790165684388</v>
      </c>
      <c r="F313" s="277">
        <v>6580.5056459050593</v>
      </c>
      <c r="G313" s="275">
        <v>6698.4538485026351</v>
      </c>
      <c r="H313" s="275">
        <v>6656.3055024537025</v>
      </c>
      <c r="I313" s="275">
        <v>6624.8753393682045</v>
      </c>
      <c r="J313" s="275">
        <v>6600.6852150411041</v>
      </c>
      <c r="K313" s="275">
        <v>6593.2197642953697</v>
      </c>
      <c r="L313" s="275">
        <v>6569.2798450195514</v>
      </c>
      <c r="M313" s="275">
        <v>6551.18323888747</v>
      </c>
      <c r="N313" s="275">
        <v>6531.0322088386483</v>
      </c>
      <c r="O313" s="275">
        <v>6519.3241042980871</v>
      </c>
      <c r="P313" s="275">
        <v>6489.8088332561283</v>
      </c>
      <c r="Q313" s="275">
        <v>6468.3929887859513</v>
      </c>
      <c r="R313" s="275">
        <v>6445.8330108372174</v>
      </c>
      <c r="S313" s="311"/>
      <c r="T313" s="311"/>
      <c r="U313" s="311"/>
      <c r="V313" s="311"/>
      <c r="W313" s="311"/>
      <c r="X313" s="311"/>
      <c r="Y313" s="311"/>
      <c r="Z313" s="311"/>
      <c r="AA313" s="311"/>
      <c r="AB313" s="311"/>
      <c r="AC313" s="311"/>
      <c r="AD313" s="311"/>
      <c r="AE313" s="311"/>
      <c r="AF313" s="311"/>
      <c r="AG313" s="311"/>
    </row>
    <row r="314" spans="1:34">
      <c r="B314" t="s">
        <v>881</v>
      </c>
      <c r="C314" s="275">
        <v>34958.508644107125</v>
      </c>
      <c r="D314" s="277">
        <v>34640.928499370304</v>
      </c>
      <c r="E314" s="276">
        <v>33976.007021582307</v>
      </c>
      <c r="F314" s="277">
        <v>33289.965272647183</v>
      </c>
      <c r="G314" s="275">
        <v>32700.776773831076</v>
      </c>
      <c r="H314" s="275">
        <v>32349.60217907152</v>
      </c>
      <c r="I314" s="275">
        <v>32154.341452446399</v>
      </c>
      <c r="J314" s="275">
        <v>32000.751668538196</v>
      </c>
      <c r="K314" s="275">
        <v>32000.60500191505</v>
      </c>
      <c r="L314" s="275">
        <v>31877.594659427301</v>
      </c>
      <c r="M314" s="275">
        <v>31709.35460800611</v>
      </c>
      <c r="N314" s="275">
        <v>31007.152709033551</v>
      </c>
      <c r="O314" s="275">
        <v>30414.246751817907</v>
      </c>
      <c r="P314" s="275">
        <v>29609.830470970617</v>
      </c>
      <c r="Q314" s="275">
        <v>28909.895906778209</v>
      </c>
      <c r="R314" s="275">
        <v>28224.879458073101</v>
      </c>
      <c r="S314" s="311"/>
      <c r="T314" s="311"/>
      <c r="U314" s="311"/>
      <c r="V314" s="311"/>
      <c r="W314" s="311"/>
      <c r="X314" s="311"/>
      <c r="Y314" s="311"/>
      <c r="Z314" s="311"/>
      <c r="AA314" s="311"/>
      <c r="AB314" s="311"/>
      <c r="AC314" s="311"/>
      <c r="AD314" s="311"/>
      <c r="AE314" s="311"/>
      <c r="AF314" s="311"/>
      <c r="AG314" s="311"/>
    </row>
    <row r="315" spans="1:34">
      <c r="B315" t="s">
        <v>882</v>
      </c>
      <c r="C315" s="275">
        <v>42869.25742798276</v>
      </c>
      <c r="D315" s="275">
        <v>42320.552750999232</v>
      </c>
      <c r="E315" s="276">
        <v>41345.504468844381</v>
      </c>
      <c r="F315" s="277">
        <v>40604.314760286456</v>
      </c>
      <c r="G315" s="275">
        <v>39972.504130988651</v>
      </c>
      <c r="H315" s="275">
        <v>39605.623785565236</v>
      </c>
      <c r="I315" s="275">
        <v>39403.107980066154</v>
      </c>
      <c r="J315" s="275">
        <v>39254.616112724922</v>
      </c>
      <c r="K315" s="275">
        <v>39277.32304122021</v>
      </c>
      <c r="L315" s="275">
        <v>39166.732306191858</v>
      </c>
      <c r="M315" s="275">
        <v>38971.559832769119</v>
      </c>
      <c r="N315" s="275">
        <v>38243.642629082671</v>
      </c>
      <c r="O315" s="275">
        <v>37633.390222895017</v>
      </c>
      <c r="P315" s="275">
        <v>36794.99234863434</v>
      </c>
      <c r="Q315" s="275">
        <v>36065.504019836502</v>
      </c>
      <c r="R315" s="275">
        <v>35350.645213871321</v>
      </c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</row>
    <row r="316" spans="1:34">
      <c r="A316" t="s">
        <v>883</v>
      </c>
      <c r="B316" t="s">
        <v>867</v>
      </c>
      <c r="C316" s="275">
        <v>17408.726435986791</v>
      </c>
      <c r="D316" s="277">
        <v>17370.967013527366</v>
      </c>
      <c r="E316" s="276">
        <v>17361.761124302935</v>
      </c>
      <c r="F316" s="277">
        <v>17105.640177709549</v>
      </c>
      <c r="G316" s="275">
        <v>16986.036449590414</v>
      </c>
      <c r="H316" s="275">
        <v>16808.466308060284</v>
      </c>
      <c r="I316" s="275">
        <v>16719.093314204471</v>
      </c>
      <c r="J316" s="275">
        <v>16696.077468709271</v>
      </c>
      <c r="K316" s="275">
        <v>16732.936548112084</v>
      </c>
      <c r="L316" s="275">
        <v>16707.983921088409</v>
      </c>
      <c r="M316" s="275">
        <v>16587.522068263432</v>
      </c>
      <c r="N316" s="275">
        <v>15961.807185204649</v>
      </c>
      <c r="O316" s="275">
        <v>15398.135237074817</v>
      </c>
      <c r="P316" s="275">
        <v>14737.507982244178</v>
      </c>
      <c r="Q316" s="275">
        <v>14163.067093883536</v>
      </c>
      <c r="R316" s="275">
        <v>13586.218724594535</v>
      </c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  <c r="AC316" s="311"/>
      <c r="AD316" s="311"/>
      <c r="AE316" s="311"/>
      <c r="AF316" s="311"/>
      <c r="AG316" s="311"/>
    </row>
    <row r="317" spans="1:34">
      <c r="B317" t="s">
        <v>884</v>
      </c>
      <c r="C317" s="275">
        <v>16849.64822182549</v>
      </c>
      <c r="D317" s="277">
        <v>16575.351783210848</v>
      </c>
      <c r="E317" s="276">
        <v>15955.963595076571</v>
      </c>
      <c r="F317" s="277">
        <v>15546.396388667326</v>
      </c>
      <c r="G317" s="275">
        <v>15069.105049794389</v>
      </c>
      <c r="H317" s="275">
        <v>14896.902183594028</v>
      </c>
      <c r="I317" s="275">
        <v>14791.923367404363</v>
      </c>
      <c r="J317" s="275">
        <v>14663.227737729889</v>
      </c>
      <c r="K317" s="275">
        <v>14625.305026791139</v>
      </c>
      <c r="L317" s="275">
        <v>14529.138417952463</v>
      </c>
      <c r="M317" s="275">
        <v>14481.62495771449</v>
      </c>
      <c r="N317" s="275">
        <v>14405.340748144203</v>
      </c>
      <c r="O317" s="275">
        <v>14374.751730566873</v>
      </c>
      <c r="P317" s="275">
        <v>14232.615582868531</v>
      </c>
      <c r="Q317" s="275">
        <v>14107.189291244669</v>
      </c>
      <c r="R317" s="275">
        <v>13999.05264178906</v>
      </c>
      <c r="S317" s="311"/>
      <c r="T317" s="311"/>
      <c r="U317" s="311"/>
      <c r="V317" s="311"/>
      <c r="W317" s="311"/>
      <c r="X317" s="311"/>
      <c r="Y317" s="311"/>
      <c r="Z317" s="311"/>
      <c r="AA317" s="311"/>
      <c r="AB317" s="311"/>
      <c r="AC317" s="311"/>
      <c r="AD317" s="311"/>
      <c r="AE317" s="311"/>
      <c r="AF317" s="311"/>
      <c r="AG317" s="311"/>
    </row>
    <row r="318" spans="1:34">
      <c r="B318" t="s">
        <v>875</v>
      </c>
      <c r="C318" s="275">
        <v>677.76267276631688</v>
      </c>
      <c r="D318" s="277">
        <v>673.64914108624669</v>
      </c>
      <c r="E318" s="276">
        <v>640.34255884528341</v>
      </c>
      <c r="F318" s="277">
        <v>619.98896291278572</v>
      </c>
      <c r="G318" s="275">
        <v>627.69553108874686</v>
      </c>
      <c r="H318" s="275">
        <v>626.29394405968583</v>
      </c>
      <c r="I318" s="275">
        <v>625.38614727532581</v>
      </c>
      <c r="J318" s="275">
        <v>623.50903224977287</v>
      </c>
      <c r="K318" s="275">
        <v>624.42719212855695</v>
      </c>
      <c r="L318" s="275">
        <v>622.53714384637465</v>
      </c>
      <c r="M318" s="275">
        <v>622.2734771241054</v>
      </c>
      <c r="N318" s="275">
        <v>622.07167870155138</v>
      </c>
      <c r="O318" s="275">
        <v>623.42755901103942</v>
      </c>
      <c r="P318" s="275">
        <v>621.77538839660804</v>
      </c>
      <c r="Q318" s="275">
        <v>621.70852853602457</v>
      </c>
      <c r="R318" s="275">
        <v>621.67744287404457</v>
      </c>
      <c r="S318" s="311"/>
      <c r="T318" s="311"/>
      <c r="U318" s="311"/>
      <c r="V318" s="311"/>
      <c r="W318" s="311"/>
      <c r="X318" s="311"/>
      <c r="Y318" s="311"/>
      <c r="Z318" s="311"/>
      <c r="AA318" s="311"/>
      <c r="AB318" s="311"/>
      <c r="AC318" s="311"/>
      <c r="AD318" s="311"/>
      <c r="AE318" s="311"/>
      <c r="AF318" s="311"/>
      <c r="AG318" s="311"/>
    </row>
    <row r="319" spans="1:34">
      <c r="B319" t="s">
        <v>876</v>
      </c>
      <c r="C319" s="275">
        <v>22.371313528528102</v>
      </c>
      <c r="D319" s="277">
        <v>20.960561545850343</v>
      </c>
      <c r="E319" s="276">
        <v>17.939743357524318</v>
      </c>
      <c r="F319" s="277">
        <v>17.939743357524318</v>
      </c>
      <c r="G319" s="275">
        <v>17.939743357524318</v>
      </c>
      <c r="H319" s="275">
        <v>17.939743357524318</v>
      </c>
      <c r="I319" s="275">
        <v>17.938623562243354</v>
      </c>
      <c r="J319" s="275">
        <v>17.937429849264056</v>
      </c>
      <c r="K319" s="275">
        <v>17.936234883269385</v>
      </c>
      <c r="L319" s="275">
        <v>17.935176540050289</v>
      </c>
      <c r="M319" s="275">
        <v>17.93410490407819</v>
      </c>
      <c r="N319" s="275">
        <v>17.933096983147905</v>
      </c>
      <c r="O319" s="275">
        <v>17.932225165176771</v>
      </c>
      <c r="P319" s="275">
        <v>17.931517461304288</v>
      </c>
      <c r="Q319" s="275">
        <v>17.930993113978907</v>
      </c>
      <c r="R319" s="275">
        <v>17.930648815461016</v>
      </c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</row>
    <row r="320" spans="1:34">
      <c r="A320" t="s">
        <v>885</v>
      </c>
      <c r="B320" t="s">
        <v>867</v>
      </c>
      <c r="C320" s="275">
        <v>3666.0480470070293</v>
      </c>
      <c r="D320" s="277">
        <v>3561.5633857227963</v>
      </c>
      <c r="E320" s="276">
        <v>3542.3759517901381</v>
      </c>
      <c r="F320" s="277">
        <v>3446.027298608396</v>
      </c>
      <c r="G320" s="275">
        <v>3558.7143642352066</v>
      </c>
      <c r="H320" s="275">
        <v>3526.0492324630973</v>
      </c>
      <c r="I320" s="275">
        <v>3506.7299015648591</v>
      </c>
      <c r="J320" s="275">
        <v>3496.7647136338455</v>
      </c>
      <c r="K320" s="275">
        <v>3495.9807903172436</v>
      </c>
      <c r="L320" s="275">
        <v>3478.9809174388538</v>
      </c>
      <c r="M320" s="275">
        <v>3471.3447508822733</v>
      </c>
      <c r="N320" s="275">
        <v>3464.4736766199849</v>
      </c>
      <c r="O320" s="275">
        <v>3461.0015324869955</v>
      </c>
      <c r="P320" s="275">
        <v>3450.201928283117</v>
      </c>
      <c r="Q320" s="275">
        <v>3443.3304522802546</v>
      </c>
      <c r="R320" s="275">
        <v>3436.1998371705649</v>
      </c>
      <c r="S320" s="311"/>
      <c r="T320" s="311"/>
      <c r="U320" s="311"/>
      <c r="V320" s="311"/>
      <c r="W320" s="311"/>
      <c r="X320" s="311"/>
      <c r="Y320" s="311"/>
      <c r="Z320" s="311"/>
      <c r="AA320" s="311"/>
      <c r="AB320" s="311"/>
      <c r="AC320" s="311"/>
      <c r="AD320" s="311"/>
      <c r="AE320" s="311"/>
      <c r="AF320" s="311"/>
      <c r="AG320" s="311"/>
    </row>
    <row r="321" spans="1:33">
      <c r="B321" t="s">
        <v>884</v>
      </c>
      <c r="C321" s="275">
        <v>2187.3424406186496</v>
      </c>
      <c r="D321" s="277">
        <v>2116.5944957990205</v>
      </c>
      <c r="E321" s="276">
        <v>2069.9971699286134</v>
      </c>
      <c r="F321" s="277">
        <v>1988.7379475963187</v>
      </c>
      <c r="G321" s="275">
        <v>1972.5354350285388</v>
      </c>
      <c r="H321" s="275">
        <v>1960.8525381472343</v>
      </c>
      <c r="I321" s="275">
        <v>1946.4222324236832</v>
      </c>
      <c r="J321" s="275">
        <v>1930.177998490916</v>
      </c>
      <c r="K321" s="275">
        <v>1922.5204252635449</v>
      </c>
      <c r="L321" s="275">
        <v>1914.6344526085109</v>
      </c>
      <c r="M321" s="275">
        <v>1904.4650751894214</v>
      </c>
      <c r="N321" s="275">
        <v>1891.4811015319849</v>
      </c>
      <c r="O321" s="275">
        <v>1883.3499590935821</v>
      </c>
      <c r="P321" s="275">
        <v>1864.9876399278264</v>
      </c>
      <c r="Q321" s="275">
        <v>1850.6619090072697</v>
      </c>
      <c r="R321" s="275">
        <v>1835.4564942890852</v>
      </c>
      <c r="S321" s="311"/>
      <c r="T321" s="311"/>
      <c r="U321" s="311"/>
      <c r="V321" s="311"/>
      <c r="W321" s="311"/>
      <c r="X321" s="311"/>
      <c r="Y321" s="311"/>
      <c r="Z321" s="311"/>
      <c r="AA321" s="311"/>
      <c r="AB321" s="311"/>
      <c r="AC321" s="311"/>
      <c r="AD321" s="311"/>
      <c r="AE321" s="311"/>
      <c r="AF321" s="311"/>
      <c r="AG321" s="311"/>
    </row>
    <row r="322" spans="1:33">
      <c r="B322" t="s">
        <v>875</v>
      </c>
      <c r="C322" s="277">
        <v>1128.2131786886262</v>
      </c>
      <c r="D322" s="277">
        <v>1091.4377322340868</v>
      </c>
      <c r="E322" s="276">
        <v>1108.8562893497428</v>
      </c>
      <c r="F322" s="277">
        <v>1142.790794200399</v>
      </c>
      <c r="G322" s="277">
        <v>1164.2544437389438</v>
      </c>
      <c r="H322" s="277">
        <v>1166.4541263434253</v>
      </c>
      <c r="I322" s="277">
        <v>1168.7737839935155</v>
      </c>
      <c r="J322" s="277">
        <v>1170.7932777973524</v>
      </c>
      <c r="K322" s="277">
        <v>1171.7695200687606</v>
      </c>
      <c r="L322" s="277">
        <v>1172.7156203363797</v>
      </c>
      <c r="M322" s="277">
        <v>1172.4247343755405</v>
      </c>
      <c r="N322" s="277">
        <v>1172.1289179661574</v>
      </c>
      <c r="O322" s="277">
        <v>1172.024243339009</v>
      </c>
      <c r="P322" s="277">
        <v>1171.6710120254984</v>
      </c>
      <c r="Q322" s="277">
        <v>1171.4524606905507</v>
      </c>
      <c r="R322" s="277">
        <v>1171.2285691783488</v>
      </c>
      <c r="S322" s="611"/>
      <c r="T322" s="611"/>
      <c r="U322" s="611"/>
      <c r="V322" s="611"/>
      <c r="W322" s="611"/>
      <c r="X322" s="611"/>
      <c r="Y322" s="611"/>
      <c r="Z322" s="611"/>
      <c r="AA322" s="611"/>
      <c r="AB322" s="611"/>
      <c r="AC322" s="611"/>
      <c r="AD322" s="611"/>
      <c r="AE322" s="611"/>
      <c r="AF322" s="611"/>
      <c r="AG322" s="611"/>
    </row>
    <row r="323" spans="1:33">
      <c r="B323" t="s">
        <v>876</v>
      </c>
      <c r="C323" s="275">
        <v>3.6707745212063685</v>
      </c>
      <c r="D323" s="277">
        <v>3.4413848657619774</v>
      </c>
      <c r="E323" s="276">
        <v>2.9496054999453345</v>
      </c>
      <c r="F323" s="277">
        <v>2.9496054999453345</v>
      </c>
      <c r="G323" s="275">
        <v>2.9496054999453345</v>
      </c>
      <c r="H323" s="275">
        <v>2.9496054999453345</v>
      </c>
      <c r="I323" s="275">
        <v>2.9494213861453926</v>
      </c>
      <c r="J323" s="275">
        <v>2.9492251189915692</v>
      </c>
      <c r="K323" s="275">
        <v>2.949028645820249</v>
      </c>
      <c r="L323" s="275">
        <v>2.9488546358069692</v>
      </c>
      <c r="M323" s="275">
        <v>2.9486784402341426</v>
      </c>
      <c r="N323" s="275">
        <v>2.9485127205211996</v>
      </c>
      <c r="O323" s="275">
        <v>2.9483693784994465</v>
      </c>
      <c r="P323" s="275">
        <v>2.9482530196868919</v>
      </c>
      <c r="Q323" s="275">
        <v>2.9481668078763881</v>
      </c>
      <c r="R323" s="275">
        <v>2.9481101992180729</v>
      </c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  <c r="AC323" s="311"/>
      <c r="AD323" s="311"/>
      <c r="AE323" s="311"/>
      <c r="AF323" s="311"/>
      <c r="AG323" s="311"/>
    </row>
    <row r="324" spans="1:33">
      <c r="A324" t="s">
        <v>886</v>
      </c>
      <c r="B324" t="s">
        <v>867</v>
      </c>
      <c r="C324" s="275">
        <v>612.3230430861413</v>
      </c>
      <c r="D324" s="275">
        <v>607.47484970780772</v>
      </c>
      <c r="E324" s="276">
        <v>373.50011299510766</v>
      </c>
      <c r="F324" s="275">
        <v>420.59024337075431</v>
      </c>
      <c r="G324" s="275">
        <v>259.19558849866388</v>
      </c>
      <c r="H324" s="275">
        <v>283.47872352997308</v>
      </c>
      <c r="I324" s="275">
        <v>307.79269018211255</v>
      </c>
      <c r="J324" s="275">
        <v>337.61939005515939</v>
      </c>
      <c r="K324" s="275">
        <v>369.811858044411</v>
      </c>
      <c r="L324" s="275">
        <v>405.67203066373315</v>
      </c>
      <c r="M324" s="275">
        <v>398.3560283091349</v>
      </c>
      <c r="N324" s="275">
        <v>394.20030790903957</v>
      </c>
      <c r="O324" s="275">
        <v>389.94995413448964</v>
      </c>
      <c r="P324" s="275">
        <v>386.82050522294134</v>
      </c>
      <c r="Q324" s="275">
        <v>379.97266246251701</v>
      </c>
      <c r="R324" s="275">
        <v>373.96013572707824</v>
      </c>
      <c r="S324" s="311"/>
      <c r="T324" s="311"/>
      <c r="U324" s="311"/>
      <c r="V324" s="311"/>
      <c r="W324" s="311"/>
      <c r="X324" s="311"/>
      <c r="Y324" s="311"/>
      <c r="Z324" s="311"/>
      <c r="AA324" s="311"/>
      <c r="AB324" s="311"/>
      <c r="AC324" s="311"/>
      <c r="AD324" s="311"/>
      <c r="AE324" s="311"/>
      <c r="AF324" s="311"/>
      <c r="AG324" s="311"/>
    </row>
    <row r="325" spans="1:33">
      <c r="B325" t="s">
        <v>884</v>
      </c>
      <c r="C325" s="275">
        <v>237.71786581708713</v>
      </c>
      <c r="D325" s="277">
        <v>226.94967478776937</v>
      </c>
      <c r="E325" s="276">
        <v>206.64531894182034</v>
      </c>
      <c r="F325" s="277">
        <v>238.2908593569756</v>
      </c>
      <c r="G325" s="275">
        <v>236.79542956193271</v>
      </c>
      <c r="H325" s="275">
        <v>238.72836354229332</v>
      </c>
      <c r="I325" s="275">
        <v>238.17633508615742</v>
      </c>
      <c r="J325" s="275">
        <v>237.28237598444451</v>
      </c>
      <c r="K325" s="275">
        <v>235.58057571517381</v>
      </c>
      <c r="L325" s="275">
        <v>236.17954984363016</v>
      </c>
      <c r="M325" s="275">
        <v>234.59367748680873</v>
      </c>
      <c r="N325" s="275">
        <v>233.11506430012133</v>
      </c>
      <c r="O325" s="275">
        <v>231.67195834697745</v>
      </c>
      <c r="P325" s="275">
        <v>230.28365918446511</v>
      </c>
      <c r="Q325" s="275">
        <v>228.94406989735009</v>
      </c>
      <c r="R325" s="275">
        <v>227.6314392443845</v>
      </c>
      <c r="S325" s="311"/>
      <c r="T325" s="311"/>
      <c r="U325" s="311"/>
      <c r="V325" s="311"/>
      <c r="W325" s="311"/>
      <c r="X325" s="311"/>
      <c r="Y325" s="311"/>
      <c r="Z325" s="311"/>
      <c r="AA325" s="311"/>
      <c r="AB325" s="311"/>
      <c r="AC325" s="311"/>
      <c r="AD325" s="311"/>
      <c r="AE325" s="311"/>
      <c r="AF325" s="311"/>
      <c r="AG325" s="311"/>
    </row>
    <row r="326" spans="1:33">
      <c r="B326" t="s">
        <v>875</v>
      </c>
      <c r="C326" s="277">
        <v>75.433434136896537</v>
      </c>
      <c r="D326" s="277">
        <v>72.162728511684918</v>
      </c>
      <c r="E326" s="276">
        <v>65.172998756706576</v>
      </c>
      <c r="F326" s="277">
        <v>74.962739006483133</v>
      </c>
      <c r="G326" s="277">
        <v>77.282490594343514</v>
      </c>
      <c r="H326" s="277">
        <v>77.509016967743236</v>
      </c>
      <c r="I326" s="277">
        <v>77.922162983278781</v>
      </c>
      <c r="J326" s="277">
        <v>78.277463106019383</v>
      </c>
      <c r="K326" s="277">
        <v>78.105841250205557</v>
      </c>
      <c r="L326" s="277">
        <v>78.006221237641384</v>
      </c>
      <c r="M326" s="277">
        <v>78.072280079596879</v>
      </c>
      <c r="N326" s="277">
        <v>78.142339001312365</v>
      </c>
      <c r="O326" s="277">
        <v>78.197454297556547</v>
      </c>
      <c r="P326" s="277">
        <v>78.248880000185238</v>
      </c>
      <c r="Q326" s="277">
        <v>78.298391912475736</v>
      </c>
      <c r="R326" s="277">
        <v>78.341169989540177</v>
      </c>
      <c r="S326" s="611"/>
      <c r="T326" s="611"/>
      <c r="U326" s="611"/>
      <c r="V326" s="611"/>
      <c r="W326" s="611"/>
      <c r="X326" s="611"/>
      <c r="Y326" s="611"/>
      <c r="Z326" s="611"/>
      <c r="AA326" s="611"/>
      <c r="AB326" s="611"/>
      <c r="AC326" s="611"/>
      <c r="AD326" s="611"/>
      <c r="AE326" s="611"/>
      <c r="AF326" s="611"/>
      <c r="AG326" s="611"/>
    </row>
    <row r="327" spans="1:33">
      <c r="B327" t="s">
        <v>876</v>
      </c>
      <c r="C327" s="275">
        <v>0</v>
      </c>
      <c r="D327" s="277">
        <v>0</v>
      </c>
      <c r="E327" s="276">
        <v>0</v>
      </c>
      <c r="F327" s="277">
        <v>0</v>
      </c>
      <c r="G327" s="275">
        <v>0</v>
      </c>
      <c r="H327" s="275">
        <v>0</v>
      </c>
      <c r="I327" s="275">
        <v>0</v>
      </c>
      <c r="J327" s="275">
        <v>0</v>
      </c>
      <c r="K327" s="275">
        <v>0</v>
      </c>
      <c r="L327" s="275">
        <v>0</v>
      </c>
      <c r="M327" s="275">
        <v>0</v>
      </c>
      <c r="N327" s="275">
        <v>0</v>
      </c>
      <c r="O327" s="275">
        <v>0</v>
      </c>
      <c r="P327" s="275">
        <v>0</v>
      </c>
      <c r="Q327" s="275">
        <v>0</v>
      </c>
      <c r="R327" s="275">
        <v>0</v>
      </c>
      <c r="S327" s="311"/>
      <c r="T327" s="311"/>
      <c r="U327" s="311"/>
      <c r="V327" s="311"/>
      <c r="W327" s="311"/>
      <c r="X327" s="311"/>
      <c r="Y327" s="311"/>
      <c r="Z327" s="311"/>
      <c r="AA327" s="311"/>
      <c r="AB327" s="311"/>
      <c r="AC327" s="311"/>
      <c r="AD327" s="311"/>
      <c r="AE327" s="311"/>
      <c r="AF327" s="311"/>
      <c r="AG327" s="311"/>
    </row>
    <row r="328" spans="1:33">
      <c r="A328" t="s">
        <v>150</v>
      </c>
      <c r="B328" t="s">
        <v>150</v>
      </c>
      <c r="C328" s="275">
        <v>42869.25742798276</v>
      </c>
      <c r="D328" s="275">
        <v>42320.552750999232</v>
      </c>
      <c r="E328" s="276">
        <v>41345.504468844381</v>
      </c>
      <c r="F328" s="275">
        <v>40604.314760286456</v>
      </c>
      <c r="G328" s="275">
        <v>39972.504130988651</v>
      </c>
      <c r="H328" s="275">
        <v>39605.623785565236</v>
      </c>
      <c r="I328" s="275">
        <v>39403.107980066154</v>
      </c>
      <c r="J328" s="275">
        <v>39254.616112724922</v>
      </c>
      <c r="K328" s="275">
        <v>39277.32304122021</v>
      </c>
      <c r="L328" s="275">
        <v>39166.732306191858</v>
      </c>
      <c r="M328" s="275">
        <v>38971.559832769119</v>
      </c>
      <c r="N328" s="275">
        <v>38243.642629082671</v>
      </c>
      <c r="O328" s="275">
        <v>37633.390222895017</v>
      </c>
      <c r="P328" s="275">
        <v>36794.99234863434</v>
      </c>
      <c r="Q328" s="275">
        <v>36065.504019836502</v>
      </c>
      <c r="R328" s="275">
        <v>35350.645213871321</v>
      </c>
      <c r="S328" s="311"/>
      <c r="T328" s="311"/>
      <c r="U328" s="311"/>
      <c r="V328" s="311"/>
      <c r="W328" s="311"/>
      <c r="X328" s="311"/>
      <c r="Y328" s="311"/>
      <c r="Z328" s="311"/>
      <c r="AA328" s="311"/>
      <c r="AB328" s="311"/>
      <c r="AC328" s="311"/>
      <c r="AD328" s="311"/>
      <c r="AE328" s="311"/>
      <c r="AF328" s="311"/>
      <c r="AG328" s="311"/>
    </row>
    <row r="329" spans="1:33">
      <c r="C329">
        <v>0</v>
      </c>
      <c r="D329">
        <v>0</v>
      </c>
      <c r="E329" s="155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33">
      <c r="A330" s="262" t="s">
        <v>887</v>
      </c>
      <c r="B330" s="262"/>
      <c r="C330" s="262">
        <v>2020</v>
      </c>
      <c r="D330" s="263">
        <v>2021</v>
      </c>
      <c r="E330" s="264">
        <v>2022</v>
      </c>
      <c r="F330" s="262">
        <v>2023</v>
      </c>
      <c r="G330" s="262">
        <v>2024</v>
      </c>
      <c r="H330" s="262">
        <v>2025</v>
      </c>
      <c r="I330" s="262">
        <v>2026</v>
      </c>
      <c r="J330" s="262">
        <v>2027</v>
      </c>
      <c r="K330" s="262">
        <v>2028</v>
      </c>
      <c r="L330" s="262">
        <v>2029</v>
      </c>
      <c r="M330" s="262">
        <v>2030</v>
      </c>
      <c r="N330" s="262">
        <v>2031</v>
      </c>
      <c r="O330" s="262">
        <v>2032</v>
      </c>
      <c r="P330" s="262">
        <v>2033</v>
      </c>
      <c r="Q330" s="262">
        <v>2034</v>
      </c>
      <c r="R330" s="262">
        <v>2035</v>
      </c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/>
    </row>
    <row r="331" spans="1:33">
      <c r="B331" t="s">
        <v>867</v>
      </c>
      <c r="C331" s="275">
        <v>621.74022985667114</v>
      </c>
      <c r="D331" s="277">
        <v>620.39167905454883</v>
      </c>
      <c r="E331" s="276">
        <v>620.06289729653338</v>
      </c>
      <c r="F331" s="277">
        <v>610.91572063248384</v>
      </c>
      <c r="G331" s="275">
        <v>606.64415891394333</v>
      </c>
      <c r="H331" s="275">
        <v>600.30236814501018</v>
      </c>
      <c r="I331" s="275">
        <v>597.14774935333458</v>
      </c>
      <c r="J331" s="275">
        <v>596.36538827112622</v>
      </c>
      <c r="K331" s="275">
        <v>597.7217731203616</v>
      </c>
      <c r="L331" s="275">
        <v>596.86565212988603</v>
      </c>
      <c r="M331" s="275">
        <v>592.59775565191558</v>
      </c>
      <c r="N331" s="275">
        <v>570.27581996642573</v>
      </c>
      <c r="O331" s="275">
        <v>550.16396418238571</v>
      </c>
      <c r="P331" s="275">
        <v>526.58102357137886</v>
      </c>
      <c r="Q331" s="275">
        <v>506.07066452042352</v>
      </c>
      <c r="R331" s="275">
        <v>485.4682051204137</v>
      </c>
      <c r="S331" s="311"/>
      <c r="T331" s="311"/>
      <c r="U331" s="311"/>
      <c r="V331" s="311"/>
      <c r="W331" s="311"/>
      <c r="X331" s="311"/>
      <c r="Y331" s="311"/>
      <c r="Z331" s="311"/>
      <c r="AA331" s="311"/>
      <c r="AB331" s="311"/>
      <c r="AC331" s="311"/>
      <c r="AD331" s="311"/>
      <c r="AE331" s="311"/>
      <c r="AF331" s="311"/>
      <c r="AG331" s="311"/>
    </row>
    <row r="332" spans="1:33">
      <c r="B332" t="s">
        <v>884</v>
      </c>
      <c r="C332" s="275">
        <v>601.77315077948174</v>
      </c>
      <c r="D332" s="277">
        <v>591.97684940038744</v>
      </c>
      <c r="E332" s="276">
        <v>569.85584268130606</v>
      </c>
      <c r="F332" s="277">
        <v>555.22844245240447</v>
      </c>
      <c r="G332" s="275">
        <v>538.18232320694256</v>
      </c>
      <c r="H332" s="275">
        <v>532.03222084264382</v>
      </c>
      <c r="I332" s="275">
        <v>528.24085858040166</v>
      </c>
      <c r="J332" s="275">
        <v>523.599698169617</v>
      </c>
      <c r="K332" s="275">
        <v>522.19999278404316</v>
      </c>
      <c r="L332" s="275">
        <v>518.72559909742404</v>
      </c>
      <c r="M332" s="275">
        <v>516.98959699790964</v>
      </c>
      <c r="N332" s="275">
        <v>514.23459448685094</v>
      </c>
      <c r="O332" s="275">
        <v>513.11770791034292</v>
      </c>
      <c r="P332" s="275">
        <v>508.02581329657642</v>
      </c>
      <c r="Q332" s="275">
        <v>503.53717206549271</v>
      </c>
      <c r="R332" s="275">
        <v>499.67282269978494</v>
      </c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  <c r="AC332" s="311"/>
      <c r="AD332" s="311"/>
      <c r="AE332" s="311"/>
      <c r="AF332" s="311"/>
      <c r="AG332" s="311"/>
    </row>
    <row r="333" spans="1:33">
      <c r="B333" t="s">
        <v>875</v>
      </c>
      <c r="C333" s="277">
        <v>24.205809741654175</v>
      </c>
      <c r="D333" s="277">
        <v>24.058897895937381</v>
      </c>
      <c r="E333" s="276">
        <v>22.869377101617264</v>
      </c>
      <c r="F333" s="277">
        <v>22.142462961170917</v>
      </c>
      <c r="G333" s="277">
        <v>22.417697538883818</v>
      </c>
      <c r="H333" s="277">
        <v>22.367640859274495</v>
      </c>
      <c r="I333" s="277">
        <v>22.336613792623194</v>
      </c>
      <c r="J333" s="277">
        <v>22.271051796750907</v>
      </c>
      <c r="K333" s="277">
        <v>22.305333399818597</v>
      </c>
      <c r="L333" s="277">
        <v>22.239130710914505</v>
      </c>
      <c r="M333" s="277">
        <v>22.231039960513169</v>
      </c>
      <c r="N333" s="277">
        <v>22.225079687608684</v>
      </c>
      <c r="O333" s="277">
        <v>22.274604811901813</v>
      </c>
      <c r="P333" s="277">
        <v>22.216450762764566</v>
      </c>
      <c r="Q333" s="277">
        <v>22.214711410222446</v>
      </c>
      <c r="R333" s="277">
        <v>22.214027204608982</v>
      </c>
      <c r="S333" s="611"/>
      <c r="T333" s="611"/>
      <c r="U333" s="611"/>
      <c r="V333" s="611"/>
      <c r="W333" s="611"/>
      <c r="X333" s="611"/>
      <c r="Y333" s="611"/>
      <c r="Z333" s="611"/>
      <c r="AA333" s="611"/>
      <c r="AB333" s="611"/>
      <c r="AC333" s="611"/>
      <c r="AD333" s="611"/>
      <c r="AE333" s="611"/>
      <c r="AF333" s="611"/>
      <c r="AG333" s="611"/>
    </row>
    <row r="334" spans="1:33">
      <c r="B334" t="s">
        <v>876</v>
      </c>
      <c r="C334" s="275">
        <v>0.79897548316171796</v>
      </c>
      <c r="D334" s="277">
        <v>0.74859148378036944</v>
      </c>
      <c r="E334" s="276">
        <v>0.64070511991158274</v>
      </c>
      <c r="F334" s="277">
        <v>0.64070511991158274</v>
      </c>
      <c r="G334" s="275">
        <v>0.64070511991158274</v>
      </c>
      <c r="H334" s="275">
        <v>0.64070511991158274</v>
      </c>
      <c r="I334" s="275">
        <v>0.64070511991158274</v>
      </c>
      <c r="J334" s="275">
        <v>0.64070511991158274</v>
      </c>
      <c r="K334" s="275">
        <v>0.64070511991158274</v>
      </c>
      <c r="L334" s="275">
        <v>0.64070511991158274</v>
      </c>
      <c r="M334" s="275">
        <v>0.64070511991158274</v>
      </c>
      <c r="N334" s="275">
        <v>0.64070511991158274</v>
      </c>
      <c r="O334" s="275">
        <v>0.64070511991158274</v>
      </c>
      <c r="P334" s="275">
        <v>0.64070511991158274</v>
      </c>
      <c r="Q334" s="275">
        <v>0.64070511991158274</v>
      </c>
      <c r="R334" s="275">
        <v>0.64070511991158274</v>
      </c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  <c r="AC334" s="311"/>
      <c r="AD334" s="311"/>
      <c r="AE334" s="311"/>
      <c r="AF334" s="311"/>
      <c r="AG334" s="311"/>
    </row>
    <row r="335" spans="1:33">
      <c r="B335" t="s">
        <v>150</v>
      </c>
      <c r="C335" s="275">
        <v>1248.5181658609686</v>
      </c>
      <c r="D335" s="277">
        <v>1237.176017834654</v>
      </c>
      <c r="E335" s="276">
        <v>1213.4288221993684</v>
      </c>
      <c r="F335" s="277">
        <v>1188.9273311659708</v>
      </c>
      <c r="G335" s="275">
        <v>1167.8848847796814</v>
      </c>
      <c r="H335" s="275">
        <v>1155.3429349668402</v>
      </c>
      <c r="I335" s="275">
        <v>1148.3659268462711</v>
      </c>
      <c r="J335" s="275">
        <v>1142.8768433574057</v>
      </c>
      <c r="K335" s="275">
        <v>1142.8678044241351</v>
      </c>
      <c r="L335" s="275">
        <v>1138.4710870581362</v>
      </c>
      <c r="M335" s="275">
        <v>1132.4590977302503</v>
      </c>
      <c r="N335" s="275">
        <v>1107.376199260797</v>
      </c>
      <c r="O335" s="275">
        <v>1086.196982024542</v>
      </c>
      <c r="P335" s="275">
        <v>1057.4639927506314</v>
      </c>
      <c r="Q335" s="275">
        <v>1032.4632531160503</v>
      </c>
      <c r="R335" s="275">
        <v>1007.9957601447192</v>
      </c>
      <c r="S335" s="311"/>
      <c r="T335" s="311"/>
      <c r="U335" s="311"/>
      <c r="V335" s="311"/>
      <c r="W335" s="311"/>
      <c r="X335" s="311"/>
      <c r="Y335" s="311"/>
      <c r="Z335" s="311"/>
      <c r="AA335" s="311"/>
      <c r="AB335" s="311"/>
      <c r="AC335" s="311"/>
      <c r="AD335" s="311"/>
      <c r="AE335" s="311"/>
      <c r="AF335" s="311"/>
      <c r="AG335" s="311"/>
    </row>
    <row r="336" spans="1:33">
      <c r="A336" s="262" t="s">
        <v>888</v>
      </c>
      <c r="B336" s="262"/>
      <c r="C336" s="262">
        <v>2020</v>
      </c>
      <c r="D336" s="263">
        <v>2021</v>
      </c>
      <c r="E336" s="264">
        <v>2022</v>
      </c>
      <c r="F336" s="262">
        <v>2023</v>
      </c>
      <c r="G336" s="262">
        <v>2024</v>
      </c>
      <c r="H336" s="262">
        <v>2025</v>
      </c>
      <c r="I336" s="262">
        <v>2026</v>
      </c>
      <c r="J336" s="262">
        <v>2027</v>
      </c>
      <c r="K336" s="262">
        <v>2028</v>
      </c>
      <c r="L336" s="262">
        <v>2029</v>
      </c>
      <c r="M336" s="262">
        <v>2030</v>
      </c>
      <c r="N336" s="262">
        <v>2031</v>
      </c>
      <c r="O336" s="262">
        <v>2032</v>
      </c>
      <c r="P336" s="262">
        <v>2033</v>
      </c>
      <c r="Q336" s="262">
        <v>2034</v>
      </c>
      <c r="R336" s="262">
        <v>2035</v>
      </c>
      <c r="S336" s="272"/>
      <c r="T336" s="272"/>
      <c r="U336" s="272"/>
      <c r="V336" s="272"/>
      <c r="W336" s="272"/>
      <c r="X336" s="272"/>
      <c r="Y336" s="272"/>
      <c r="Z336" s="272"/>
      <c r="AA336" s="272"/>
      <c r="AB336" s="272"/>
      <c r="AC336" s="272"/>
      <c r="AD336" s="272"/>
      <c r="AE336" s="272"/>
      <c r="AF336" s="272"/>
      <c r="AG336" s="272"/>
    </row>
    <row r="337" spans="1:35">
      <c r="B337" t="s">
        <v>867</v>
      </c>
      <c r="C337" s="275">
        <v>13.834143573611431</v>
      </c>
      <c r="D337" s="277">
        <v>13.439861832916213</v>
      </c>
      <c r="E337" s="276">
        <v>13.367456421849578</v>
      </c>
      <c r="F337" s="277">
        <v>13.003876598522249</v>
      </c>
      <c r="G337" s="275">
        <v>13.429110808434743</v>
      </c>
      <c r="H337" s="275">
        <v>13.305846160238104</v>
      </c>
      <c r="I337" s="275">
        <v>13.233769074057211</v>
      </c>
      <c r="J337" s="275">
        <v>13.197040431581211</v>
      </c>
      <c r="K337" s="275">
        <v>13.194960878323242</v>
      </c>
      <c r="L337" s="275">
        <v>13.131572706202896</v>
      </c>
      <c r="M337" s="275">
        <v>13.103532588801549</v>
      </c>
      <c r="N337" s="275">
        <v>13.078330874643745</v>
      </c>
      <c r="O337" s="275">
        <v>13.065858784984</v>
      </c>
      <c r="P337" s="275">
        <v>13.025602537196773</v>
      </c>
      <c r="Q337" s="275">
        <v>13.000040686672667</v>
      </c>
      <c r="R337" s="275">
        <v>12.973368679798552</v>
      </c>
      <c r="S337" s="311"/>
      <c r="T337" s="311"/>
      <c r="U337" s="311"/>
      <c r="V337" s="311"/>
      <c r="W337" s="311"/>
      <c r="X337" s="311"/>
      <c r="Y337" s="311"/>
      <c r="Z337" s="311"/>
      <c r="AA337" s="311"/>
      <c r="AB337" s="311"/>
      <c r="AC337" s="311"/>
      <c r="AD337" s="311"/>
      <c r="AE337" s="311"/>
      <c r="AF337" s="311"/>
      <c r="AG337" s="311"/>
    </row>
    <row r="338" spans="1:35">
      <c r="B338" t="s">
        <v>884</v>
      </c>
      <c r="C338" s="275">
        <v>8.2541224174288654</v>
      </c>
      <c r="D338" s="277">
        <v>7.9871490407510208</v>
      </c>
      <c r="E338" s="276">
        <v>7.8113100752023144</v>
      </c>
      <c r="F338" s="277">
        <v>7.5046715003634672</v>
      </c>
      <c r="G338" s="275">
        <v>7.4435299435039202</v>
      </c>
      <c r="H338" s="275">
        <v>7.3994435401782424</v>
      </c>
      <c r="I338" s="275">
        <v>7.3444039676142427</v>
      </c>
      <c r="J338" s="275">
        <v>7.2824800276679369</v>
      </c>
      <c r="K338" s="275">
        <v>7.2529549785922285</v>
      </c>
      <c r="L338" s="275">
        <v>7.22263603998287</v>
      </c>
      <c r="M338" s="275">
        <v>7.1837206493805752</v>
      </c>
      <c r="N338" s="275">
        <v>7.1343031571595912</v>
      </c>
      <c r="O338" s="275">
        <v>7.1032868572110495</v>
      </c>
      <c r="P338" s="275">
        <v>7.0337767017417807</v>
      </c>
      <c r="Q338" s="275">
        <v>6.9795846549158593</v>
      </c>
      <c r="R338" s="275">
        <v>6.9221743308928421</v>
      </c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  <c r="AC338" s="311"/>
      <c r="AD338" s="311"/>
      <c r="AE338" s="311"/>
      <c r="AF338" s="311"/>
      <c r="AG338" s="311"/>
    </row>
    <row r="339" spans="1:35">
      <c r="B339" t="s">
        <v>875</v>
      </c>
      <c r="C339" s="277">
        <v>4.2574082214665134</v>
      </c>
      <c r="D339" s="277">
        <v>4.1186329518267426</v>
      </c>
      <c r="E339" s="276">
        <v>4.1843633560367657</v>
      </c>
      <c r="F339" s="277">
        <v>4.3124180913222601</v>
      </c>
      <c r="G339" s="277">
        <v>4.393412995241297</v>
      </c>
      <c r="H339" s="277">
        <v>4.4017136843148128</v>
      </c>
      <c r="I339" s="277">
        <v>4.4107531110255938</v>
      </c>
      <c r="J339" s="277">
        <v>4.4186793171086682</v>
      </c>
      <c r="K339" s="277">
        <v>4.4226690307111065</v>
      </c>
      <c r="L339" s="277">
        <v>4.426511148554547</v>
      </c>
      <c r="M339" s="277">
        <v>4.4256867774452333</v>
      </c>
      <c r="N339" s="277">
        <v>4.4248263961656322</v>
      </c>
      <c r="O339" s="277">
        <v>4.4246523315416226</v>
      </c>
      <c r="P339" s="277">
        <v>4.4234977472199413</v>
      </c>
      <c r="Q339" s="277">
        <v>4.4228046529636789</v>
      </c>
      <c r="R339" s="277">
        <v>4.4220452752841934</v>
      </c>
      <c r="S339" s="611"/>
      <c r="T339" s="611"/>
      <c r="U339" s="611"/>
      <c r="V339" s="611"/>
      <c r="W339" s="611"/>
      <c r="X339" s="611"/>
      <c r="Y339" s="611"/>
      <c r="Z339" s="611"/>
      <c r="AA339" s="611"/>
      <c r="AB339" s="611"/>
      <c r="AC339" s="611"/>
      <c r="AD339" s="611"/>
      <c r="AE339" s="611"/>
      <c r="AF339" s="611"/>
      <c r="AG339" s="611"/>
    </row>
    <row r="340" spans="1:35">
      <c r="B340" t="s">
        <v>876</v>
      </c>
      <c r="C340" s="275">
        <v>1.3851979325307051E-2</v>
      </c>
      <c r="D340" s="277">
        <v>1.2986357984007463E-2</v>
      </c>
      <c r="E340" s="276">
        <v>1.1130586792246546E-2</v>
      </c>
      <c r="F340" s="277">
        <v>1.1130586792246546E-2</v>
      </c>
      <c r="G340" s="275">
        <v>1.1130586792246546E-2</v>
      </c>
      <c r="H340" s="275">
        <v>1.1130586792246546E-2</v>
      </c>
      <c r="I340" s="275">
        <v>1.1130586792246546E-2</v>
      </c>
      <c r="J340" s="275">
        <v>1.1130586792246546E-2</v>
      </c>
      <c r="K340" s="275">
        <v>1.1130586792246546E-2</v>
      </c>
      <c r="L340" s="275">
        <v>1.1130586792246546E-2</v>
      </c>
      <c r="M340" s="275">
        <v>1.1130586792246546E-2</v>
      </c>
      <c r="N340" s="275">
        <v>1.1130586792246546E-2</v>
      </c>
      <c r="O340" s="275">
        <v>1.1130586792246546E-2</v>
      </c>
      <c r="P340" s="275">
        <v>1.1130586792246546E-2</v>
      </c>
      <c r="Q340" s="275">
        <v>1.1130586792246546E-2</v>
      </c>
      <c r="R340" s="275">
        <v>1.1130586792246546E-2</v>
      </c>
      <c r="S340" s="311"/>
      <c r="T340" s="311"/>
      <c r="U340" s="311"/>
      <c r="V340" s="311"/>
      <c r="W340" s="311"/>
      <c r="X340" s="311"/>
      <c r="Y340" s="311"/>
      <c r="Z340" s="311"/>
      <c r="AA340" s="311"/>
      <c r="AB340" s="311"/>
      <c r="AC340" s="311"/>
      <c r="AD340" s="311"/>
      <c r="AE340" s="311"/>
      <c r="AF340" s="311"/>
      <c r="AG340" s="311"/>
    </row>
    <row r="341" spans="1:35">
      <c r="B341" t="s">
        <v>150</v>
      </c>
      <c r="C341" s="275">
        <v>26.359526191832114</v>
      </c>
      <c r="D341" s="277">
        <v>25.558630183477987</v>
      </c>
      <c r="E341" s="276">
        <v>25.374260439880906</v>
      </c>
      <c r="F341" s="277">
        <v>24.832096777000224</v>
      </c>
      <c r="G341" s="275">
        <v>25.277184333972208</v>
      </c>
      <c r="H341" s="275">
        <v>25.11813397152341</v>
      </c>
      <c r="I341" s="275">
        <v>25.000056739489295</v>
      </c>
      <c r="J341" s="275">
        <v>24.909330363150065</v>
      </c>
      <c r="K341" s="275">
        <v>24.881715474418826</v>
      </c>
      <c r="L341" s="275">
        <v>24.79185048153256</v>
      </c>
      <c r="M341" s="275">
        <v>24.724070602419605</v>
      </c>
      <c r="N341" s="275">
        <v>24.648591014761216</v>
      </c>
      <c r="O341" s="275">
        <v>24.604928560528919</v>
      </c>
      <c r="P341" s="275">
        <v>24.494007572950743</v>
      </c>
      <c r="Q341" s="275">
        <v>24.413560581344456</v>
      </c>
      <c r="R341" s="275">
        <v>24.328718872767837</v>
      </c>
      <c r="S341" s="311"/>
      <c r="T341" s="311"/>
      <c r="U341" s="311"/>
      <c r="V341" s="311"/>
      <c r="W341" s="311"/>
      <c r="X341" s="311"/>
      <c r="Y341" s="311"/>
      <c r="Z341" s="311"/>
      <c r="AA341" s="311"/>
      <c r="AB341" s="311"/>
      <c r="AC341" s="311"/>
      <c r="AD341" s="311"/>
      <c r="AE341" s="311"/>
      <c r="AF341" s="311"/>
      <c r="AG341" s="311"/>
      <c r="AH341" s="52"/>
      <c r="AI341" s="164"/>
    </row>
    <row r="343" spans="1:35">
      <c r="A343" s="262" t="s">
        <v>889</v>
      </c>
      <c r="B343" s="262"/>
      <c r="C343" s="262">
        <v>2020</v>
      </c>
      <c r="D343" s="263">
        <v>2021</v>
      </c>
      <c r="E343" s="264">
        <v>2022</v>
      </c>
      <c r="F343" s="262">
        <v>2023</v>
      </c>
      <c r="G343" s="262">
        <v>2024</v>
      </c>
      <c r="H343" s="262">
        <v>2025</v>
      </c>
      <c r="I343" s="262">
        <v>2026</v>
      </c>
      <c r="J343" s="262">
        <v>2027</v>
      </c>
      <c r="K343" s="262">
        <v>2028</v>
      </c>
      <c r="L343" s="262">
        <v>2029</v>
      </c>
      <c r="M343" s="262">
        <v>2030</v>
      </c>
      <c r="N343" s="262">
        <v>2031</v>
      </c>
      <c r="O343" s="262">
        <v>2032</v>
      </c>
      <c r="P343" s="262">
        <v>2033</v>
      </c>
      <c r="Q343" s="262">
        <v>2034</v>
      </c>
      <c r="R343" s="262">
        <v>2035</v>
      </c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/>
    </row>
    <row r="344" spans="1:35">
      <c r="B344" t="s">
        <v>890</v>
      </c>
      <c r="C344" s="275">
        <v>4836.7259999999987</v>
      </c>
      <c r="D344" s="277">
        <v>4825.5707139999995</v>
      </c>
      <c r="E344" s="276">
        <v>4602.8509296730244</v>
      </c>
      <c r="F344" s="277">
        <v>4567.6071039957087</v>
      </c>
      <c r="G344" s="275">
        <v>4549.3366755797251</v>
      </c>
      <c r="H344" s="275">
        <v>4512.941982175088</v>
      </c>
      <c r="I344" s="275">
        <v>4476.8384463176862</v>
      </c>
      <c r="J344" s="275">
        <v>4454.4542540860966</v>
      </c>
      <c r="K344" s="275">
        <v>4454.454254086053</v>
      </c>
      <c r="L344" s="275">
        <v>4435.9435180104501</v>
      </c>
      <c r="M344" s="275">
        <v>4425.0168362172462</v>
      </c>
      <c r="N344" s="275">
        <v>4414.1016364744937</v>
      </c>
      <c r="O344" s="275">
        <v>4403.1979187821917</v>
      </c>
      <c r="P344" s="275">
        <v>4392.305683140341</v>
      </c>
      <c r="Q344" s="275">
        <v>4381.4249295489435</v>
      </c>
      <c r="R344" s="275">
        <v>4370.5556580079965</v>
      </c>
      <c r="S344" s="311"/>
      <c r="T344" s="311"/>
      <c r="U344" s="311"/>
      <c r="V344" s="311"/>
      <c r="W344" s="311"/>
      <c r="X344" s="311"/>
      <c r="Y344" s="311"/>
      <c r="Z344" s="311"/>
      <c r="AA344" s="311"/>
      <c r="AB344" s="311"/>
      <c r="AC344" s="311"/>
      <c r="AD344" s="311"/>
      <c r="AE344" s="311"/>
      <c r="AF344" s="311"/>
      <c r="AG344" s="311"/>
    </row>
    <row r="345" spans="1:35">
      <c r="B345" t="s">
        <v>891</v>
      </c>
      <c r="C345" s="275">
        <v>45441.764000000017</v>
      </c>
      <c r="D345" s="277">
        <v>45556.943575400001</v>
      </c>
      <c r="E345" s="276">
        <v>44238.476999999999</v>
      </c>
      <c r="F345" s="277">
        <v>42629.437000000005</v>
      </c>
      <c r="G345" s="275">
        <v>41060</v>
      </c>
      <c r="H345" s="275">
        <v>41503.64938902892</v>
      </c>
      <c r="I345" s="275">
        <v>41191.451444262057</v>
      </c>
      <c r="J345" s="275">
        <v>40694.129538805028</v>
      </c>
      <c r="K345" s="275">
        <v>40292.199420101009</v>
      </c>
      <c r="L345" s="275">
        <v>40117.662433682235</v>
      </c>
      <c r="M345" s="275">
        <v>39910.700708049459</v>
      </c>
      <c r="N345" s="275">
        <v>39705.721351937056</v>
      </c>
      <c r="O345" s="275">
        <v>39501.257682226547</v>
      </c>
      <c r="P345" s="275">
        <v>39297.414038876668</v>
      </c>
      <c r="Q345" s="275">
        <v>39094.267500594033</v>
      </c>
      <c r="R345" s="275">
        <v>38891.873957505995</v>
      </c>
      <c r="S345" s="311"/>
      <c r="T345" s="311"/>
      <c r="U345" s="311"/>
      <c r="V345" s="311"/>
      <c r="W345" s="311"/>
      <c r="X345" s="311"/>
      <c r="Y345" s="311"/>
      <c r="Z345" s="311"/>
      <c r="AA345" s="311"/>
      <c r="AB345" s="311"/>
      <c r="AC345" s="311"/>
      <c r="AD345" s="311"/>
      <c r="AE345" s="311"/>
      <c r="AF345" s="311"/>
      <c r="AG345" s="311"/>
    </row>
    <row r="346" spans="1:35">
      <c r="B346" t="s">
        <v>892</v>
      </c>
      <c r="C346" s="275">
        <v>3882.5660000000016</v>
      </c>
      <c r="D346" s="277">
        <v>3964.8109999999997</v>
      </c>
      <c r="E346" s="276">
        <v>3821.1559999999999</v>
      </c>
      <c r="F346" s="277">
        <v>3654.0340000000006</v>
      </c>
      <c r="G346" s="275">
        <v>3549.9999999999995</v>
      </c>
      <c r="H346" s="275">
        <v>3592.1098778057853</v>
      </c>
      <c r="I346" s="275">
        <v>3573.6413187640474</v>
      </c>
      <c r="J346" s="275">
        <v>3552.7341735087816</v>
      </c>
      <c r="K346" s="275">
        <v>3549.6469878962712</v>
      </c>
      <c r="L346" s="275">
        <v>3536.5407252556365</v>
      </c>
      <c r="M346" s="275">
        <v>3520.5704836344948</v>
      </c>
      <c r="N346" s="275">
        <v>3504.7417485399569</v>
      </c>
      <c r="O346" s="275">
        <v>3488.9510957799603</v>
      </c>
      <c r="P346" s="275">
        <v>3473.20775701103</v>
      </c>
      <c r="Q346" s="275">
        <v>3457.5185772141308</v>
      </c>
      <c r="R346" s="275">
        <v>3441.8885445977789</v>
      </c>
      <c r="S346" s="311"/>
      <c r="T346" s="311"/>
      <c r="U346" s="311"/>
      <c r="V346" s="311"/>
      <c r="W346" s="311"/>
      <c r="X346" s="311"/>
      <c r="Y346" s="311"/>
      <c r="Z346" s="311"/>
      <c r="AA346" s="311"/>
      <c r="AB346" s="311"/>
      <c r="AC346" s="311"/>
      <c r="AD346" s="311"/>
      <c r="AE346" s="311"/>
      <c r="AF346" s="311"/>
      <c r="AG346" s="311"/>
    </row>
    <row r="347" spans="1:35">
      <c r="B347" t="s">
        <v>893</v>
      </c>
      <c r="C347" s="275">
        <v>26028.934000000012</v>
      </c>
      <c r="D347" s="277">
        <v>25732.888575400004</v>
      </c>
      <c r="E347" s="276">
        <v>25132.696999999996</v>
      </c>
      <c r="F347" s="277">
        <v>24359.267000000007</v>
      </c>
      <c r="G347" s="275">
        <v>23310</v>
      </c>
      <c r="H347" s="275">
        <v>23543.099999999988</v>
      </c>
      <c r="I347" s="275">
        <v>23323.244850441821</v>
      </c>
      <c r="J347" s="275">
        <v>22930.458671261116</v>
      </c>
      <c r="K347" s="275">
        <v>22543.964480619648</v>
      </c>
      <c r="L347" s="275">
        <v>22434.958807404055</v>
      </c>
      <c r="M347" s="275">
        <v>22307.848289876987</v>
      </c>
      <c r="N347" s="275">
        <v>22182.012609237274</v>
      </c>
      <c r="O347" s="275">
        <v>22056.502203326745</v>
      </c>
      <c r="P347" s="275">
        <v>21931.375253821512</v>
      </c>
      <c r="Q347" s="275">
        <v>21806.674614523381</v>
      </c>
      <c r="R347" s="275">
        <v>21682.431234517098</v>
      </c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  <c r="AC347" s="311"/>
      <c r="AD347" s="311"/>
      <c r="AE347" s="311"/>
      <c r="AF347" s="311"/>
      <c r="AG347" s="311"/>
    </row>
    <row r="348" spans="1:35">
      <c r="B348" t="s">
        <v>894</v>
      </c>
      <c r="C348" s="275">
        <v>6200.2219999999998</v>
      </c>
      <c r="D348" s="277">
        <v>6216.9716150000004</v>
      </c>
      <c r="E348" s="276">
        <v>5930.0329999999994</v>
      </c>
      <c r="F348" s="277">
        <v>5884.6270000000004</v>
      </c>
      <c r="G348" s="275">
        <v>5861.088491999999</v>
      </c>
      <c r="H348" s="275">
        <v>5814.1997840639997</v>
      </c>
      <c r="I348" s="275">
        <v>5767.6861857914864</v>
      </c>
      <c r="J348" s="275">
        <v>5738.8477548625278</v>
      </c>
      <c r="K348" s="275">
        <v>5738.8477548624714</v>
      </c>
      <c r="L348" s="275">
        <v>5714.9996490993735</v>
      </c>
      <c r="M348" s="275">
        <v>5700.922377294527</v>
      </c>
      <c r="N348" s="275">
        <v>5686.8598982646636</v>
      </c>
      <c r="O348" s="275">
        <v>5672.8122120097823</v>
      </c>
      <c r="P348" s="275">
        <v>5658.7793185298842</v>
      </c>
      <c r="Q348" s="275">
        <v>5644.7612178249719</v>
      </c>
      <c r="R348" s="275">
        <v>5630.7579098950418</v>
      </c>
      <c r="S348" s="311"/>
      <c r="T348" s="311"/>
      <c r="U348" s="311"/>
      <c r="V348" s="311"/>
      <c r="W348" s="311"/>
      <c r="X348" s="311"/>
      <c r="Y348" s="311"/>
      <c r="Z348" s="311"/>
      <c r="AA348" s="311"/>
      <c r="AB348" s="311"/>
      <c r="AC348" s="311"/>
      <c r="AD348" s="311"/>
      <c r="AE348" s="311"/>
      <c r="AF348" s="311"/>
      <c r="AG348" s="311"/>
    </row>
    <row r="349" spans="1:35">
      <c r="C349" s="275"/>
      <c r="D349" s="277"/>
      <c r="E349" s="276"/>
      <c r="F349" s="277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  <c r="AC349" s="311"/>
      <c r="AD349" s="311"/>
      <c r="AE349" s="311"/>
      <c r="AF349" s="311"/>
      <c r="AG349" s="311"/>
    </row>
    <row r="350" spans="1:35">
      <c r="A350" s="262" t="s">
        <v>895</v>
      </c>
      <c r="B350" s="262"/>
      <c r="C350" s="262">
        <v>2020</v>
      </c>
      <c r="D350" s="263">
        <v>2021</v>
      </c>
      <c r="E350" s="264">
        <v>2022</v>
      </c>
      <c r="F350" s="262">
        <v>2023</v>
      </c>
      <c r="G350" s="262">
        <v>2024</v>
      </c>
      <c r="H350" s="262">
        <v>2025</v>
      </c>
      <c r="I350" s="262">
        <v>2026</v>
      </c>
      <c r="J350" s="262">
        <v>2027</v>
      </c>
      <c r="K350" s="262">
        <v>2028</v>
      </c>
      <c r="L350" s="262">
        <v>2029</v>
      </c>
      <c r="M350" s="262">
        <v>2030</v>
      </c>
      <c r="N350" s="262">
        <v>2031</v>
      </c>
      <c r="O350" s="262">
        <v>2032</v>
      </c>
      <c r="P350" s="262">
        <v>2033</v>
      </c>
      <c r="Q350" s="262">
        <v>2034</v>
      </c>
      <c r="R350" s="262">
        <v>2035</v>
      </c>
      <c r="S350" s="272"/>
      <c r="T350" s="272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</row>
    <row r="351" spans="1:35">
      <c r="A351" t="s">
        <v>867</v>
      </c>
      <c r="B351" t="s">
        <v>896</v>
      </c>
      <c r="C351" s="275">
        <v>2.8226925355190935</v>
      </c>
      <c r="D351" s="277">
        <v>2.8362686254687532</v>
      </c>
      <c r="E351" s="276">
        <v>2.7737541985338483</v>
      </c>
      <c r="F351" s="277">
        <v>2.7525156855038833</v>
      </c>
      <c r="G351" s="275">
        <v>2.7525156855038837</v>
      </c>
      <c r="H351" s="275">
        <v>2.7525156855038833</v>
      </c>
      <c r="I351" s="275">
        <v>2.7525156855038833</v>
      </c>
      <c r="J351" s="275">
        <v>2.7525156855038828</v>
      </c>
      <c r="K351" s="275">
        <v>2.7525156855038833</v>
      </c>
      <c r="L351" s="275">
        <v>2.7525156855038828</v>
      </c>
      <c r="M351" s="275">
        <v>2.7525156855038833</v>
      </c>
      <c r="N351" s="275">
        <v>2.7525156855038833</v>
      </c>
      <c r="O351" s="275">
        <v>2.7525156855038833</v>
      </c>
      <c r="P351" s="275">
        <v>2.7525156855038828</v>
      </c>
      <c r="Q351" s="275">
        <v>2.7525156855038833</v>
      </c>
      <c r="R351" s="275">
        <v>2.7525156855038833</v>
      </c>
      <c r="S351" s="311"/>
      <c r="T351" s="311"/>
      <c r="U351" s="311"/>
      <c r="V351" s="311"/>
      <c r="W351" s="311"/>
      <c r="X351" s="311"/>
      <c r="Y351" s="311"/>
      <c r="Z351" s="311"/>
      <c r="AA351" s="311"/>
      <c r="AB351" s="311"/>
      <c r="AC351" s="311"/>
      <c r="AD351" s="311"/>
      <c r="AE351" s="311"/>
      <c r="AF351" s="311"/>
      <c r="AG351" s="311"/>
      <c r="AH351" s="34"/>
    </row>
    <row r="352" spans="1:35">
      <c r="B352" t="s">
        <v>897</v>
      </c>
      <c r="C352" s="275">
        <v>391.97973567243633</v>
      </c>
      <c r="D352" s="277">
        <v>403.26836250772226</v>
      </c>
      <c r="E352" s="276">
        <v>405.83543298298787</v>
      </c>
      <c r="F352" s="277">
        <v>410.06612222874759</v>
      </c>
      <c r="G352" s="275">
        <v>417.60399972264372</v>
      </c>
      <c r="H352" s="275">
        <v>418.10980247617192</v>
      </c>
      <c r="I352" s="275">
        <v>422.95380443412148</v>
      </c>
      <c r="J352" s="275">
        <v>428.49949138866697</v>
      </c>
      <c r="K352" s="275">
        <v>432.68981665278613</v>
      </c>
      <c r="L352" s="275">
        <v>437.16470587648809</v>
      </c>
      <c r="M352" s="275">
        <v>441.9232394360431</v>
      </c>
      <c r="N352" s="275">
        <v>446.63257302493764</v>
      </c>
      <c r="O352" s="275">
        <v>451.27577827578972</v>
      </c>
      <c r="P352" s="275">
        <v>455.85129753210617</v>
      </c>
      <c r="Q352" s="275">
        <v>460.36292994915846</v>
      </c>
      <c r="R352" s="275">
        <v>464.81598741504445</v>
      </c>
      <c r="S352" s="311"/>
      <c r="T352" s="311"/>
      <c r="U352" s="311"/>
      <c r="V352" s="311"/>
      <c r="W352" s="311"/>
      <c r="X352" s="311"/>
      <c r="Y352" s="311"/>
      <c r="Z352" s="311"/>
      <c r="AA352" s="311"/>
      <c r="AB352" s="311"/>
      <c r="AC352" s="311"/>
      <c r="AD352" s="311"/>
      <c r="AE352" s="311"/>
      <c r="AF352" s="311"/>
      <c r="AG352" s="311"/>
      <c r="AH352" s="34"/>
    </row>
    <row r="353" spans="1:37">
      <c r="B353" t="s">
        <v>898</v>
      </c>
      <c r="C353" s="275">
        <v>4128.2618504857664</v>
      </c>
      <c r="D353" s="277">
        <v>4130.2491087125645</v>
      </c>
      <c r="E353" s="276">
        <v>4347.3821297650902</v>
      </c>
      <c r="F353" s="277">
        <v>4307.5825967474011</v>
      </c>
      <c r="G353" s="275">
        <v>4295.1190660009961</v>
      </c>
      <c r="H353" s="275">
        <v>4285.1868325954965</v>
      </c>
      <c r="I353" s="275">
        <v>4296.9155259579584</v>
      </c>
      <c r="J353" s="275">
        <v>4312.3374794089414</v>
      </c>
      <c r="K353" s="275">
        <v>4322.1629996866541</v>
      </c>
      <c r="L353" s="275">
        <v>4334.0203850899798</v>
      </c>
      <c r="M353" s="275">
        <v>4317.837085074696</v>
      </c>
      <c r="N353" s="275">
        <v>4187.2097642367253</v>
      </c>
      <c r="O353" s="275">
        <v>4070.6778565229856</v>
      </c>
      <c r="P353" s="275">
        <v>3929.6896164748637</v>
      </c>
      <c r="Q353" s="275">
        <v>3808.5322722225219</v>
      </c>
      <c r="R353" s="275">
        <v>3686.1186512852446</v>
      </c>
      <c r="S353" s="311"/>
      <c r="T353" s="311"/>
      <c r="U353" s="311"/>
      <c r="V353" s="311"/>
      <c r="W353" s="311"/>
      <c r="X353" s="311"/>
      <c r="Y353" s="311"/>
      <c r="Z353" s="311"/>
      <c r="AA353" s="311"/>
      <c r="AB353" s="311"/>
      <c r="AC353" s="311"/>
      <c r="AD353" s="311"/>
      <c r="AE353" s="311"/>
      <c r="AF353" s="311"/>
      <c r="AG353" s="311"/>
      <c r="AH353" s="34"/>
    </row>
    <row r="354" spans="1:37">
      <c r="A354" t="s">
        <v>899</v>
      </c>
      <c r="B354" t="s">
        <v>900</v>
      </c>
      <c r="C354" s="275">
        <v>5.7966217365132078</v>
      </c>
      <c r="D354" s="277">
        <v>5.8530106581018879</v>
      </c>
      <c r="E354" s="276">
        <v>5.9123700461697952</v>
      </c>
      <c r="F354" s="277">
        <v>5.7149219077714983</v>
      </c>
      <c r="G354" s="275">
        <v>5.7149219077714983</v>
      </c>
      <c r="H354" s="275">
        <v>5.6925987301099941</v>
      </c>
      <c r="I354" s="275">
        <v>5.7149219077714992</v>
      </c>
      <c r="J354" s="275">
        <v>5.7149219077714974</v>
      </c>
      <c r="K354" s="275">
        <v>5.7149219077714983</v>
      </c>
      <c r="L354" s="275">
        <v>5.6239560105543562</v>
      </c>
      <c r="M354" s="275">
        <v>5.6497202023158861</v>
      </c>
      <c r="N354" s="275">
        <v>5.672231283936803</v>
      </c>
      <c r="O354" s="275">
        <v>5.6919202455054156</v>
      </c>
      <c r="P354" s="275">
        <v>5.7093006226606322</v>
      </c>
      <c r="Q354" s="275">
        <v>5.7248191447014785</v>
      </c>
      <c r="R354" s="275">
        <v>5.7388342238632095</v>
      </c>
      <c r="S354" s="311"/>
      <c r="T354" s="311"/>
      <c r="U354" s="311"/>
      <c r="V354" s="311"/>
      <c r="W354" s="311"/>
      <c r="X354" s="311"/>
      <c r="Y354" s="311"/>
      <c r="Z354" s="311"/>
      <c r="AA354" s="311"/>
      <c r="AB354" s="311"/>
      <c r="AC354" s="311"/>
      <c r="AD354" s="311"/>
      <c r="AE354" s="311"/>
      <c r="AF354" s="311"/>
      <c r="AG354" s="311"/>
      <c r="AH354" s="34"/>
    </row>
    <row r="355" spans="1:37">
      <c r="B355" t="s">
        <v>901</v>
      </c>
      <c r="C355" s="275">
        <v>19.513635270854955</v>
      </c>
      <c r="D355" s="277">
        <v>20.137466144908025</v>
      </c>
      <c r="E355" s="276">
        <v>19.793243195827944</v>
      </c>
      <c r="F355" s="277">
        <v>20.730226551363948</v>
      </c>
      <c r="G355" s="275">
        <v>21.668893255240636</v>
      </c>
      <c r="H355" s="275">
        <v>20.410675941332698</v>
      </c>
      <c r="I355" s="275">
        <v>20.396213671399167</v>
      </c>
      <c r="J355" s="275">
        <v>20.451439001173206</v>
      </c>
      <c r="K355" s="275">
        <v>20.553014968747696</v>
      </c>
      <c r="L355" s="275">
        <v>20.659547017477401</v>
      </c>
      <c r="M355" s="275">
        <v>20.73509260668769</v>
      </c>
      <c r="N355" s="275">
        <v>20.814584283220686</v>
      </c>
      <c r="O355" s="275">
        <v>20.897481001757868</v>
      </c>
      <c r="P355" s="275">
        <v>20.983527999317193</v>
      </c>
      <c r="Q355" s="275">
        <v>21.066796090289944</v>
      </c>
      <c r="R355" s="275">
        <v>21.151345882671144</v>
      </c>
      <c r="S355" s="311"/>
      <c r="T355" s="311"/>
      <c r="U355" s="311"/>
      <c r="V355" s="311"/>
      <c r="W355" s="311"/>
      <c r="X355" s="311"/>
      <c r="Y355" s="311"/>
      <c r="Z355" s="311"/>
      <c r="AA355" s="311"/>
      <c r="AB355" s="311"/>
      <c r="AC355" s="311"/>
      <c r="AD355" s="311"/>
      <c r="AE355" s="311"/>
      <c r="AF355" s="311"/>
      <c r="AG355" s="311"/>
      <c r="AH355" s="34"/>
    </row>
    <row r="356" spans="1:37">
      <c r="B356" t="s">
        <v>902</v>
      </c>
      <c r="C356" s="275">
        <v>403.66908733286743</v>
      </c>
      <c r="D356" s="277">
        <v>405.93203514452279</v>
      </c>
      <c r="E356" s="276">
        <v>404.7489527233439</v>
      </c>
      <c r="F356" s="277">
        <v>407.59085490819041</v>
      </c>
      <c r="G356" s="275">
        <v>406.42372953934205</v>
      </c>
      <c r="H356" s="275">
        <v>397.53192887323644</v>
      </c>
      <c r="I356" s="275">
        <v>397.68902230400317</v>
      </c>
      <c r="J356" s="275">
        <v>398.60903147761724</v>
      </c>
      <c r="K356" s="275">
        <v>401.13280810111155</v>
      </c>
      <c r="L356" s="275">
        <v>399.89596676203161</v>
      </c>
      <c r="M356" s="275">
        <v>400.12415804127278</v>
      </c>
      <c r="N356" s="275">
        <v>399.57386309202809</v>
      </c>
      <c r="O356" s="275">
        <v>400.2949301673363</v>
      </c>
      <c r="P356" s="275">
        <v>397.99853970366485</v>
      </c>
      <c r="Q356" s="275">
        <v>396.22766762463817</v>
      </c>
      <c r="R356" s="275">
        <v>394.87508836912303</v>
      </c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  <c r="AC356" s="311"/>
      <c r="AD356" s="311"/>
      <c r="AE356" s="311"/>
      <c r="AF356" s="311"/>
      <c r="AG356" s="311"/>
      <c r="AH356" s="34"/>
    </row>
    <row r="357" spans="1:37">
      <c r="A357" t="s">
        <v>903</v>
      </c>
      <c r="B357" t="s">
        <v>904</v>
      </c>
      <c r="C357" s="275">
        <v>1.8958985789999998</v>
      </c>
      <c r="D357" s="277">
        <v>1.946</v>
      </c>
      <c r="E357" s="276">
        <v>1.8680000000000001</v>
      </c>
      <c r="F357" s="277">
        <v>1.8730209330000003</v>
      </c>
      <c r="G357" s="275">
        <v>1.899821191807008</v>
      </c>
      <c r="H357" s="275">
        <v>1.8869052807536495</v>
      </c>
      <c r="I357" s="275">
        <v>1.8934958527070067</v>
      </c>
      <c r="J357" s="275">
        <v>1.9087313822899765</v>
      </c>
      <c r="K357" s="275">
        <v>1.9273969944887173</v>
      </c>
      <c r="L357" s="275">
        <v>1.9392379433357523</v>
      </c>
      <c r="M357" s="275">
        <v>1.9555177748201553</v>
      </c>
      <c r="N357" s="275">
        <v>1.9714815714921909</v>
      </c>
      <c r="O357" s="275">
        <v>1.9870565677007708</v>
      </c>
      <c r="P357" s="275">
        <v>2.0022382448171685</v>
      </c>
      <c r="Q357" s="275">
        <v>2.0170456179194365</v>
      </c>
      <c r="R357" s="275">
        <v>2.0315041437293964</v>
      </c>
      <c r="S357" s="311"/>
      <c r="T357" s="311"/>
      <c r="U357" s="311"/>
      <c r="V357" s="311"/>
      <c r="W357" s="311"/>
      <c r="X357" s="311"/>
      <c r="Y357" s="311"/>
      <c r="Z357" s="311"/>
      <c r="AA357" s="311"/>
      <c r="AB357" s="311"/>
      <c r="AC357" s="311"/>
      <c r="AD357" s="311"/>
      <c r="AE357" s="311"/>
      <c r="AF357" s="311"/>
      <c r="AG357" s="311"/>
      <c r="AH357" s="34"/>
    </row>
    <row r="358" spans="1:37">
      <c r="A358" t="s">
        <v>905</v>
      </c>
      <c r="B358" t="s">
        <v>906</v>
      </c>
      <c r="C358" s="275">
        <v>0.88673400876026698</v>
      </c>
      <c r="D358" s="277">
        <v>0.91740140891510258</v>
      </c>
      <c r="E358" s="276">
        <v>0.87562293387404111</v>
      </c>
      <c r="F358" s="277">
        <v>0.88371788676709639</v>
      </c>
      <c r="G358" s="275">
        <v>0.88972475706018039</v>
      </c>
      <c r="H358" s="275">
        <v>0.84711753806216006</v>
      </c>
      <c r="I358" s="275">
        <v>0.84014964509223256</v>
      </c>
      <c r="J358" s="275">
        <v>0.83225350796871189</v>
      </c>
      <c r="K358" s="275">
        <v>0.82812617780510323</v>
      </c>
      <c r="L358" s="275">
        <v>0.82881273327994487</v>
      </c>
      <c r="M358" s="275">
        <v>0.82755207517920149</v>
      </c>
      <c r="N358" s="275">
        <v>0.82645808360596873</v>
      </c>
      <c r="O358" s="275">
        <v>0.82547678195987073</v>
      </c>
      <c r="P358" s="275">
        <v>0.82459838778552907</v>
      </c>
      <c r="Q358" s="275">
        <v>0.82359096173426349</v>
      </c>
      <c r="R358" s="275">
        <v>0.82261547810045932</v>
      </c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  <c r="AC358" s="311"/>
      <c r="AD358" s="311"/>
      <c r="AE358" s="311"/>
      <c r="AF358" s="311"/>
      <c r="AG358" s="311"/>
      <c r="AH358" s="34"/>
    </row>
    <row r="359" spans="1:37">
      <c r="A359" t="s">
        <v>907</v>
      </c>
      <c r="B359" t="s">
        <v>908</v>
      </c>
      <c r="C359" s="275">
        <v>470.00000002452458</v>
      </c>
      <c r="D359" s="277">
        <v>441.00000000000011</v>
      </c>
      <c r="E359" s="276">
        <v>367.00000000000011</v>
      </c>
      <c r="F359" s="277">
        <v>392</v>
      </c>
      <c r="G359" s="275">
        <v>432.18251951140041</v>
      </c>
      <c r="H359" s="275">
        <v>431.54652586931826</v>
      </c>
      <c r="I359" s="275">
        <v>430.09904729080313</v>
      </c>
      <c r="J359" s="275">
        <v>428.63933441994647</v>
      </c>
      <c r="K359" s="275">
        <v>425.4600863818124</v>
      </c>
      <c r="L359" s="275">
        <v>422.16139739547231</v>
      </c>
      <c r="M359" s="275">
        <v>418.78947116075477</v>
      </c>
      <c r="N359" s="275">
        <v>415.50755018494067</v>
      </c>
      <c r="O359" s="275">
        <v>412.17962921352444</v>
      </c>
      <c r="P359" s="275">
        <v>408.88156354032748</v>
      </c>
      <c r="Q359" s="275">
        <v>405.5988464709564</v>
      </c>
      <c r="R359" s="275">
        <v>402.3154762808864</v>
      </c>
      <c r="S359" s="311"/>
      <c r="T359" s="311"/>
      <c r="U359" s="311"/>
      <c r="V359" s="311"/>
      <c r="W359" s="311"/>
      <c r="X359" s="311"/>
      <c r="Y359" s="311"/>
      <c r="Z359" s="311"/>
      <c r="AA359" s="311"/>
      <c r="AB359" s="311"/>
      <c r="AC359" s="311"/>
      <c r="AD359" s="311"/>
      <c r="AE359" s="311"/>
      <c r="AF359" s="311"/>
      <c r="AG359" s="311"/>
      <c r="AH359" s="34"/>
    </row>
    <row r="361" spans="1:37">
      <c r="H361">
        <v>26.800000000000157</v>
      </c>
    </row>
    <row r="362" spans="1:37">
      <c r="A362" s="262" t="s">
        <v>909</v>
      </c>
      <c r="B362" s="262"/>
      <c r="C362" s="262">
        <v>2020</v>
      </c>
      <c r="D362" s="263">
        <v>2021</v>
      </c>
      <c r="E362" s="264">
        <v>2022</v>
      </c>
      <c r="F362" s="262">
        <v>2023</v>
      </c>
      <c r="G362" s="262">
        <v>2024</v>
      </c>
      <c r="H362" s="262">
        <v>2025</v>
      </c>
      <c r="I362" s="262">
        <v>2026</v>
      </c>
      <c r="J362" s="262">
        <v>2027</v>
      </c>
      <c r="K362" s="262">
        <v>2028</v>
      </c>
      <c r="L362" s="262">
        <v>2029</v>
      </c>
      <c r="M362" s="262">
        <v>2030</v>
      </c>
      <c r="N362" s="262">
        <v>2031</v>
      </c>
      <c r="O362" s="262">
        <v>2032</v>
      </c>
      <c r="P362" s="262">
        <v>2033</v>
      </c>
      <c r="Q362" s="262">
        <v>2034</v>
      </c>
      <c r="R362" s="262">
        <v>2035</v>
      </c>
      <c r="S362" s="272"/>
      <c r="T362" s="272"/>
      <c r="U362" s="272"/>
      <c r="V362" s="272"/>
      <c r="W362" s="272"/>
      <c r="X362" s="272"/>
      <c r="Y362" s="272"/>
      <c r="Z362" s="272"/>
      <c r="AA362" s="272"/>
      <c r="AB362" s="272"/>
      <c r="AC362" s="272"/>
      <c r="AD362" s="272"/>
      <c r="AE362" s="272"/>
      <c r="AF362" s="272"/>
      <c r="AG362" s="272"/>
    </row>
    <row r="363" spans="1:37">
      <c r="B363" t="s">
        <v>867</v>
      </c>
      <c r="C363" s="304">
        <v>1.7135149999999997</v>
      </c>
      <c r="D363" s="305">
        <v>1.7013799999999901</v>
      </c>
      <c r="E363" s="306">
        <v>1.6594300000000002</v>
      </c>
      <c r="F363" s="305">
        <v>1.6594299999999997</v>
      </c>
      <c r="G363" s="304">
        <v>1.6527922799999994</v>
      </c>
      <c r="H363" s="304">
        <v>1.6395699417599998</v>
      </c>
      <c r="I363" s="304">
        <v>1.6264533822259195</v>
      </c>
      <c r="J363" s="304">
        <v>1.6183211153147896</v>
      </c>
      <c r="K363" s="304">
        <v>1.6183211153147736</v>
      </c>
      <c r="L363" s="304">
        <v>1.6115960905771893</v>
      </c>
      <c r="M363" s="304">
        <v>1.6076263832106701</v>
      </c>
      <c r="N363" s="304">
        <v>1.6036608473191809</v>
      </c>
      <c r="O363" s="304">
        <v>1.5996994829027213</v>
      </c>
      <c r="P363" s="304">
        <v>1.5957422899612919</v>
      </c>
      <c r="Q363" s="304">
        <v>1.5917892684948924</v>
      </c>
      <c r="R363" s="304">
        <v>1.5878404185035226</v>
      </c>
      <c r="S363" s="612"/>
      <c r="T363" s="612"/>
      <c r="U363" s="612"/>
      <c r="V363" s="612"/>
      <c r="W363" s="612"/>
      <c r="X363" s="612"/>
      <c r="Y363" s="612"/>
      <c r="Z363" s="612"/>
      <c r="AA363" s="612"/>
      <c r="AB363" s="612"/>
      <c r="AC363" s="612"/>
      <c r="AD363" s="612"/>
      <c r="AE363" s="612"/>
      <c r="AF363" s="612"/>
      <c r="AG363" s="612"/>
    </row>
    <row r="364" spans="1:37">
      <c r="B364" t="s">
        <v>884</v>
      </c>
      <c r="C364" s="304">
        <v>7.8393529999999991</v>
      </c>
      <c r="D364" s="305">
        <v>7.7835060000000009</v>
      </c>
      <c r="E364" s="306">
        <v>7.4823592999999997</v>
      </c>
      <c r="F364" s="305">
        <v>7.459321000000001</v>
      </c>
      <c r="G364" s="304">
        <v>7.1847000996048811</v>
      </c>
      <c r="H364" s="304">
        <v>7.2908088830331055</v>
      </c>
      <c r="I364" s="304">
        <v>7.2077015415114252</v>
      </c>
      <c r="J364" s="304">
        <v>7.1206798965120912</v>
      </c>
      <c r="K364" s="304">
        <v>7.0503499558426563</v>
      </c>
      <c r="L364" s="304">
        <v>7.1333528139968179</v>
      </c>
      <c r="M364" s="304">
        <v>7.0641906641128172</v>
      </c>
      <c r="N364" s="304">
        <v>7.0000180465806681</v>
      </c>
      <c r="O364" s="304">
        <v>6.9398824963189591</v>
      </c>
      <c r="P364" s="304">
        <v>6.8830521698055893</v>
      </c>
      <c r="Q364" s="304">
        <v>6.8289087414712757</v>
      </c>
      <c r="R364" s="304">
        <v>6.7769641778091234</v>
      </c>
      <c r="S364" s="612"/>
      <c r="T364" s="612"/>
      <c r="U364" s="612"/>
      <c r="V364" s="612"/>
      <c r="W364" s="612"/>
      <c r="X364" s="612"/>
      <c r="Y364" s="612"/>
      <c r="Z364" s="612"/>
      <c r="AA364" s="612"/>
      <c r="AB364" s="612"/>
      <c r="AC364" s="612"/>
      <c r="AD364" s="612"/>
      <c r="AE364" s="612"/>
      <c r="AF364" s="612"/>
      <c r="AG364" s="612"/>
      <c r="AJ364" s="6"/>
      <c r="AK364" s="6"/>
    </row>
    <row r="365" spans="1:37">
      <c r="B365" t="s">
        <v>910</v>
      </c>
      <c r="C365" s="304">
        <v>1.8369088764774002</v>
      </c>
      <c r="D365" s="305">
        <v>1.8815071789574198</v>
      </c>
      <c r="E365" s="306">
        <v>1.9546488320189002</v>
      </c>
      <c r="F365" s="305">
        <v>2.02915210216202</v>
      </c>
      <c r="G365" s="304">
        <v>2.0797841021620203</v>
      </c>
      <c r="H365" s="304">
        <v>2.1065841021620204</v>
      </c>
      <c r="I365" s="304">
        <v>2.1328867102942679</v>
      </c>
      <c r="J365" s="304">
        <v>2.1644584030476817</v>
      </c>
      <c r="K365" s="304">
        <v>2.1969239868381178</v>
      </c>
      <c r="L365" s="304">
        <v>2.2291043204634251</v>
      </c>
      <c r="M365" s="304">
        <v>2.2661977551938377</v>
      </c>
      <c r="N365" s="304">
        <v>2.3028536024079642</v>
      </c>
      <c r="O365" s="304">
        <v>2.3393581771664098</v>
      </c>
      <c r="P365" s="304">
        <v>2.3757057098770149</v>
      </c>
      <c r="Q365" s="304">
        <v>2.4118916805262725</v>
      </c>
      <c r="R365" s="304">
        <v>2.4479128369412018</v>
      </c>
      <c r="S365" s="612"/>
      <c r="T365" s="612"/>
      <c r="U365" s="612"/>
      <c r="V365" s="612"/>
      <c r="W365" s="612"/>
      <c r="X365" s="612"/>
      <c r="Y365" s="612"/>
      <c r="Z365" s="612"/>
      <c r="AA365" s="612"/>
      <c r="AB365" s="612"/>
      <c r="AC365" s="612"/>
      <c r="AD365" s="612"/>
      <c r="AE365" s="612"/>
      <c r="AF365" s="612"/>
      <c r="AG365" s="612"/>
      <c r="AJ365" s="6"/>
      <c r="AK365" s="6"/>
    </row>
    <row r="366" spans="1:37">
      <c r="B366" t="s">
        <v>377</v>
      </c>
      <c r="C366" s="304">
        <v>0.11371599999999998</v>
      </c>
      <c r="D366" s="305">
        <v>0.11294199999999997</v>
      </c>
      <c r="E366" s="306">
        <v>0.1032231</v>
      </c>
      <c r="F366" s="305">
        <v>0.10145975864212045</v>
      </c>
      <c r="G366" s="304">
        <v>0.10589355114544671</v>
      </c>
      <c r="H366" s="304">
        <v>0.10650508130619721</v>
      </c>
      <c r="I366" s="304">
        <v>0.10683699222137304</v>
      </c>
      <c r="J366" s="304">
        <v>0.1072463748015578</v>
      </c>
      <c r="K366" s="304">
        <v>0.1071176958760746</v>
      </c>
      <c r="L366" s="304">
        <v>0.1077176958760746</v>
      </c>
      <c r="M366" s="304">
        <v>0.10831769587607461</v>
      </c>
      <c r="N366" s="304">
        <v>0.10891769587607461</v>
      </c>
      <c r="O366" s="304">
        <v>0.10951769587607461</v>
      </c>
      <c r="P366" s="304">
        <v>0.1101176958760746</v>
      </c>
      <c r="Q366" s="304">
        <v>0.11071769587607459</v>
      </c>
      <c r="R366" s="304">
        <v>0.11131769587607461</v>
      </c>
      <c r="S366" s="612"/>
      <c r="T366" s="612"/>
      <c r="U366" s="612"/>
      <c r="V366" s="612"/>
      <c r="W366" s="612"/>
      <c r="X366" s="612"/>
      <c r="Y366" s="612"/>
      <c r="Z366" s="612"/>
      <c r="AA366" s="612"/>
      <c r="AB366" s="612"/>
      <c r="AC366" s="612"/>
      <c r="AD366" s="612"/>
      <c r="AE366" s="612"/>
      <c r="AF366" s="612"/>
      <c r="AG366" s="612"/>
      <c r="AJ366" s="6"/>
      <c r="AK366" s="6"/>
    </row>
    <row r="367" spans="1:37">
      <c r="B367" t="s">
        <v>911</v>
      </c>
      <c r="C367" s="304">
        <v>0.14369300000000002</v>
      </c>
      <c r="D367" s="305">
        <v>0.143598</v>
      </c>
      <c r="E367" s="306">
        <v>0.1489606</v>
      </c>
      <c r="F367" s="305">
        <v>0.15099500000000002</v>
      </c>
      <c r="G367" s="304">
        <v>0.15099500000000002</v>
      </c>
      <c r="H367" s="304">
        <v>0.15099500000000002</v>
      </c>
      <c r="I367" s="304">
        <v>0.15099500000000002</v>
      </c>
      <c r="J367" s="304">
        <v>0.15099500000000002</v>
      </c>
      <c r="K367" s="304">
        <v>0.15099500000000002</v>
      </c>
      <c r="L367" s="304">
        <v>0.15099500000000002</v>
      </c>
      <c r="M367" s="304">
        <v>0.15099500000000002</v>
      </c>
      <c r="N367" s="304">
        <v>0.15099500000000002</v>
      </c>
      <c r="O367" s="304">
        <v>0.15099500000000002</v>
      </c>
      <c r="P367" s="304">
        <v>0.15099500000000002</v>
      </c>
      <c r="Q367" s="304">
        <v>0.15099500000000002</v>
      </c>
      <c r="R367" s="304">
        <v>0.15099500000000002</v>
      </c>
      <c r="S367" s="612"/>
      <c r="T367" s="612"/>
      <c r="U367" s="612"/>
      <c r="V367" s="612"/>
      <c r="W367" s="612"/>
      <c r="X367" s="612"/>
      <c r="Y367" s="612"/>
      <c r="Z367" s="612"/>
      <c r="AA367" s="612"/>
      <c r="AB367" s="612"/>
      <c r="AC367" s="612"/>
      <c r="AD367" s="612"/>
      <c r="AE367" s="612"/>
      <c r="AF367" s="612"/>
      <c r="AG367" s="612"/>
      <c r="AJ367" s="6"/>
      <c r="AK367" s="6"/>
    </row>
    <row r="368" spans="1:37">
      <c r="B368" t="s">
        <v>201</v>
      </c>
      <c r="C368" s="304">
        <v>1.4730000000000001</v>
      </c>
      <c r="D368" s="305">
        <v>1.4670000000000001</v>
      </c>
      <c r="E368" s="306">
        <v>1.4490000000000001</v>
      </c>
      <c r="F368" s="305">
        <v>1.4279999999999999</v>
      </c>
      <c r="G368" s="304">
        <v>1.4179999999999999</v>
      </c>
      <c r="H368" s="304">
        <v>1.41</v>
      </c>
      <c r="I368" s="304">
        <v>1.4</v>
      </c>
      <c r="J368" s="304">
        <v>1.3908812338118925</v>
      </c>
      <c r="K368" s="304">
        <v>1.379780544457142</v>
      </c>
      <c r="L368" s="304">
        <v>1.3717179723385682</v>
      </c>
      <c r="M368" s="304">
        <v>1.3666594082693542</v>
      </c>
      <c r="N368" s="304">
        <v>1.3566078073687078</v>
      </c>
      <c r="O368" s="304">
        <v>1.3425651886601635</v>
      </c>
      <c r="P368" s="304">
        <v>1.330532206871627</v>
      </c>
      <c r="Q368" s="304">
        <v>1.3175090741709381</v>
      </c>
      <c r="R368" s="304">
        <v>1.3114956769229495</v>
      </c>
      <c r="S368" s="612"/>
      <c r="T368" s="612"/>
      <c r="U368" s="612"/>
      <c r="V368" s="612"/>
      <c r="W368" s="612"/>
      <c r="X368" s="612"/>
      <c r="Y368" s="612"/>
      <c r="Z368" s="612"/>
      <c r="AA368" s="612"/>
      <c r="AB368" s="612"/>
      <c r="AC368" s="612"/>
      <c r="AD368" s="612"/>
      <c r="AE368" s="612"/>
      <c r="AF368" s="612"/>
      <c r="AG368" s="612"/>
    </row>
    <row r="369" spans="1:33">
      <c r="B369" t="s">
        <v>912</v>
      </c>
      <c r="C369" s="304">
        <v>9.6144298862753372E-2</v>
      </c>
      <c r="D369" s="305">
        <v>9.9974197175929064E-2</v>
      </c>
      <c r="E369" s="306">
        <v>0.10673088212587421</v>
      </c>
      <c r="F369" s="305">
        <v>0.11439948970313743</v>
      </c>
      <c r="G369" s="304">
        <v>0.12332576161373399</v>
      </c>
      <c r="H369" s="304">
        <v>0.12497728452433052</v>
      </c>
      <c r="I369" s="304">
        <v>0.12548380743492707</v>
      </c>
      <c r="J369" s="304">
        <v>0.1260597880806579</v>
      </c>
      <c r="K369" s="304">
        <v>0.12661317268469263</v>
      </c>
      <c r="L369" s="304">
        <v>0.12691891074350672</v>
      </c>
      <c r="M369" s="304">
        <v>0.12971963874062051</v>
      </c>
      <c r="N369" s="304">
        <v>0.13251166277702509</v>
      </c>
      <c r="O369" s="304">
        <v>0.13529245907330179</v>
      </c>
      <c r="P369" s="304">
        <v>0.13806120921956927</v>
      </c>
      <c r="Q369" s="304">
        <v>0.14081764800602675</v>
      </c>
      <c r="R369" s="304">
        <v>0.14356191747660885</v>
      </c>
      <c r="S369" s="612"/>
      <c r="T369" s="612"/>
      <c r="U369" s="612"/>
      <c r="V369" s="612"/>
      <c r="W369" s="612"/>
      <c r="X369" s="612"/>
      <c r="Y369" s="612"/>
      <c r="Z369" s="612"/>
      <c r="AA369" s="612"/>
      <c r="AB369" s="612"/>
      <c r="AC369" s="612"/>
      <c r="AD369" s="612"/>
      <c r="AE369" s="612"/>
      <c r="AF369" s="612"/>
      <c r="AG369" s="612"/>
    </row>
    <row r="370" spans="1:33">
      <c r="B370" t="s">
        <v>913</v>
      </c>
      <c r="C370" s="304">
        <v>4.1205384154060241</v>
      </c>
      <c r="D370" s="305">
        <v>4.146961214612837</v>
      </c>
      <c r="E370" s="306">
        <v>4.4325158766014052</v>
      </c>
      <c r="F370" s="305">
        <v>4.3941112402388978</v>
      </c>
      <c r="G370" s="304">
        <v>4.6213777962200968</v>
      </c>
      <c r="H370" s="304">
        <v>4.5074282979605229</v>
      </c>
      <c r="I370" s="304">
        <v>4.5865111570582684</v>
      </c>
      <c r="J370" s="304">
        <v>4.6582267791775074</v>
      </c>
      <c r="K370" s="304">
        <v>4.7067671197327208</v>
      </c>
      <c r="L370" s="304">
        <v>4.6054657867505959</v>
      </c>
      <c r="M370" s="304">
        <v>4.6431620453428035</v>
      </c>
      <c r="N370" s="304">
        <v>4.6813039284165576</v>
      </c>
      <c r="O370" s="304">
        <v>4.7195580907485475</v>
      </c>
      <c r="P370" s="304">
        <v>4.75266230913501</v>
      </c>
      <c r="Q370" s="304">
        <v>4.7842394822006984</v>
      </c>
      <c r="R370" s="304">
        <v>4.8067808672166965</v>
      </c>
      <c r="S370" s="612"/>
      <c r="T370" s="612"/>
      <c r="U370" s="612"/>
      <c r="V370" s="612"/>
      <c r="W370" s="612"/>
      <c r="X370" s="612"/>
      <c r="Y370" s="612"/>
      <c r="Z370" s="612"/>
      <c r="AA370" s="612"/>
      <c r="AB370" s="612"/>
      <c r="AC370" s="612"/>
      <c r="AD370" s="612"/>
      <c r="AE370" s="612"/>
      <c r="AF370" s="612"/>
      <c r="AG370" s="612"/>
    </row>
    <row r="371" spans="1:33">
      <c r="B371" t="s">
        <v>150</v>
      </c>
      <c r="C371" s="304">
        <v>17.336868590746178</v>
      </c>
      <c r="D371" s="305">
        <v>17.336868590746178</v>
      </c>
      <c r="E371" s="306">
        <v>17.336868590746178</v>
      </c>
      <c r="F371" s="305">
        <v>17.336868590746178</v>
      </c>
      <c r="G371" s="304">
        <v>17.336868590746178</v>
      </c>
      <c r="H371" s="304">
        <v>17.336868590746178</v>
      </c>
      <c r="I371" s="304">
        <v>17.336868590746182</v>
      </c>
      <c r="J371" s="304">
        <v>17.336868590746178</v>
      </c>
      <c r="K371" s="304">
        <v>17.336868590746178</v>
      </c>
      <c r="L371" s="304">
        <v>17.336868590746178</v>
      </c>
      <c r="M371" s="304">
        <v>17.336868590746178</v>
      </c>
      <c r="N371" s="304">
        <v>17.336868590746178</v>
      </c>
      <c r="O371" s="304">
        <v>17.336868590746178</v>
      </c>
      <c r="P371" s="304">
        <v>17.336868590746178</v>
      </c>
      <c r="Q371" s="304">
        <v>17.336868590746178</v>
      </c>
      <c r="R371" s="304">
        <v>17.336868590746178</v>
      </c>
      <c r="S371" s="612"/>
      <c r="T371" s="612"/>
      <c r="U371" s="612"/>
      <c r="V371" s="612"/>
      <c r="W371" s="612"/>
      <c r="X371" s="612"/>
      <c r="Y371" s="612"/>
      <c r="Z371" s="612"/>
      <c r="AA371" s="612"/>
      <c r="AB371" s="612"/>
      <c r="AC371" s="612"/>
      <c r="AD371" s="612"/>
      <c r="AE371" s="612"/>
      <c r="AF371" s="612"/>
      <c r="AG371" s="612"/>
    </row>
    <row r="373" spans="1:33">
      <c r="A373" s="262" t="s">
        <v>725</v>
      </c>
      <c r="B373" s="262"/>
      <c r="C373" s="262">
        <v>2020</v>
      </c>
      <c r="D373" s="263">
        <v>2021</v>
      </c>
      <c r="E373" s="264">
        <v>2022</v>
      </c>
      <c r="F373" s="262">
        <v>2023</v>
      </c>
      <c r="G373" s="262">
        <v>2024</v>
      </c>
      <c r="H373" s="262">
        <v>2025</v>
      </c>
      <c r="I373" s="262">
        <v>2026</v>
      </c>
      <c r="J373" s="262">
        <v>2027</v>
      </c>
      <c r="K373" s="262">
        <v>2028</v>
      </c>
      <c r="L373" s="262">
        <v>2029</v>
      </c>
      <c r="M373" s="262">
        <v>2030</v>
      </c>
      <c r="N373" s="262">
        <v>2031</v>
      </c>
      <c r="O373" s="262">
        <v>2032</v>
      </c>
      <c r="P373" s="262">
        <v>2033</v>
      </c>
      <c r="Q373" s="262">
        <v>2034</v>
      </c>
      <c r="R373" s="262">
        <v>2035</v>
      </c>
      <c r="S373" s="272"/>
      <c r="T373" s="272"/>
      <c r="U373" s="272"/>
      <c r="V373" s="272"/>
      <c r="W373" s="272"/>
      <c r="X373" s="272"/>
      <c r="Y373" s="272"/>
      <c r="Z373" s="272"/>
      <c r="AA373" s="272"/>
      <c r="AB373" s="272"/>
      <c r="AC373" s="272"/>
      <c r="AD373" s="272"/>
      <c r="AE373" s="272"/>
      <c r="AF373" s="272"/>
      <c r="AG373" s="272"/>
    </row>
    <row r="374" spans="1:33">
      <c r="B374" t="s">
        <v>914</v>
      </c>
      <c r="C374" s="275">
        <v>33678</v>
      </c>
      <c r="D374" s="277">
        <v>44936</v>
      </c>
      <c r="E374" s="276">
        <v>69935.999999999985</v>
      </c>
      <c r="F374" s="277">
        <v>68540</v>
      </c>
      <c r="G374" s="275">
        <v>51762.000000000015</v>
      </c>
      <c r="H374" s="275">
        <v>27930.000000000007</v>
      </c>
      <c r="I374" s="275">
        <v>27432.60813224762</v>
      </c>
      <c r="J374" s="275">
        <v>32701.692753413048</v>
      </c>
      <c r="K374" s="275">
        <v>33595.583790436998</v>
      </c>
      <c r="L374" s="275">
        <v>33310.333625306746</v>
      </c>
      <c r="M374" s="275">
        <v>38223.434730413363</v>
      </c>
      <c r="N374" s="275">
        <v>37785.847214125759</v>
      </c>
      <c r="O374" s="275">
        <v>37634.574758447037</v>
      </c>
      <c r="P374" s="275">
        <v>37477.532710604908</v>
      </c>
      <c r="Q374" s="275">
        <v>37315.970649257411</v>
      </c>
      <c r="R374" s="275">
        <v>37151.156414928184</v>
      </c>
      <c r="S374" s="311"/>
      <c r="T374" s="311"/>
      <c r="U374" s="311"/>
      <c r="V374" s="311"/>
      <c r="W374" s="311"/>
      <c r="X374" s="311"/>
      <c r="Y374" s="311"/>
      <c r="Z374" s="311"/>
      <c r="AA374" s="311"/>
      <c r="AB374" s="311"/>
      <c r="AC374" s="311"/>
      <c r="AD374" s="311"/>
      <c r="AE374" s="311"/>
      <c r="AF374" s="311"/>
      <c r="AG374" s="311"/>
    </row>
    <row r="375" spans="1:33">
      <c r="B375" t="s">
        <v>915</v>
      </c>
      <c r="C375" s="275">
        <v>4908.6011439069516</v>
      </c>
      <c r="D375" s="277">
        <v>3947.3754025791218</v>
      </c>
      <c r="E375" s="276">
        <v>6874.1620393486237</v>
      </c>
      <c r="F375" s="277">
        <v>7786.0846666666675</v>
      </c>
      <c r="G375" s="275">
        <v>9043.7489999999998</v>
      </c>
      <c r="H375" s="275">
        <v>1769</v>
      </c>
      <c r="I375" s="275">
        <v>624</v>
      </c>
      <c r="J375" s="275">
        <v>693.45773513427775</v>
      </c>
      <c r="K375" s="275">
        <v>670.86169343818608</v>
      </c>
      <c r="L375" s="275">
        <v>423.21514821755858</v>
      </c>
      <c r="M375" s="275">
        <v>2918.205086517245</v>
      </c>
      <c r="N375" s="275">
        <v>2909.5011258080513</v>
      </c>
      <c r="O375" s="275">
        <v>2898.2733856801401</v>
      </c>
      <c r="P375" s="275">
        <v>2886.2272356709377</v>
      </c>
      <c r="Q375" s="275">
        <v>2873.915875860956</v>
      </c>
      <c r="R375" s="275">
        <v>2861.7465599855068</v>
      </c>
      <c r="S375" s="311"/>
      <c r="T375" s="311"/>
      <c r="U375" s="311"/>
      <c r="V375" s="311"/>
      <c r="W375" s="311"/>
      <c r="X375" s="311"/>
      <c r="Y375" s="311"/>
      <c r="Z375" s="311"/>
      <c r="AA375" s="311"/>
      <c r="AB375" s="311"/>
      <c r="AC375" s="311"/>
      <c r="AD375" s="311"/>
      <c r="AE375" s="311"/>
      <c r="AF375" s="311"/>
      <c r="AG375" s="311"/>
    </row>
    <row r="376" spans="1:33">
      <c r="B376" t="s">
        <v>916</v>
      </c>
      <c r="C376" s="275">
        <v>6166.8471924647965</v>
      </c>
      <c r="D376" s="277">
        <v>4285.1687885282081</v>
      </c>
      <c r="E376" s="276">
        <v>3668.6048438310786</v>
      </c>
      <c r="F376" s="277">
        <v>1822.3995235392035</v>
      </c>
      <c r="G376" s="275">
        <v>1822.3995235392035</v>
      </c>
      <c r="H376" s="275">
        <v>1822.3995235392035</v>
      </c>
      <c r="I376" s="275">
        <v>1822.3995235392035</v>
      </c>
      <c r="J376" s="275">
        <v>1822.3995235392035</v>
      </c>
      <c r="K376" s="275">
        <v>1822.3995235392035</v>
      </c>
      <c r="L376" s="275">
        <v>1822.3995235392035</v>
      </c>
      <c r="M376" s="275">
        <v>1822.3995235392035</v>
      </c>
      <c r="N376" s="275">
        <v>1822.3995235392035</v>
      </c>
      <c r="O376" s="275">
        <v>1822.3995235392035</v>
      </c>
      <c r="P376" s="275">
        <v>1822.3995235392035</v>
      </c>
      <c r="Q376" s="275">
        <v>1822.3995235392035</v>
      </c>
      <c r="R376" s="275">
        <v>1822.3995235392035</v>
      </c>
      <c r="S376" s="311"/>
      <c r="T376" s="311"/>
      <c r="U376" s="311"/>
      <c r="V376" s="311"/>
      <c r="W376" s="311"/>
      <c r="X376" s="311"/>
      <c r="Y376" s="311"/>
      <c r="Z376" s="311"/>
      <c r="AA376" s="311"/>
      <c r="AB376" s="311"/>
      <c r="AC376" s="311"/>
      <c r="AD376" s="311"/>
      <c r="AE376" s="311"/>
      <c r="AF376" s="311"/>
      <c r="AG376" s="311"/>
    </row>
    <row r="378" spans="1:33">
      <c r="A378" s="262" t="s">
        <v>917</v>
      </c>
      <c r="B378" s="262"/>
      <c r="C378" s="262">
        <v>2020</v>
      </c>
      <c r="D378" s="263">
        <v>2021</v>
      </c>
      <c r="E378" s="264">
        <v>2022</v>
      </c>
      <c r="F378" s="262">
        <v>2023</v>
      </c>
      <c r="G378" s="262">
        <v>2024</v>
      </c>
      <c r="H378" s="262">
        <v>2025</v>
      </c>
      <c r="I378" s="262">
        <v>2026</v>
      </c>
      <c r="J378" s="262">
        <v>2027</v>
      </c>
      <c r="K378" s="262">
        <v>2028</v>
      </c>
      <c r="L378" s="262">
        <v>2029</v>
      </c>
      <c r="M378" s="262">
        <v>2030</v>
      </c>
      <c r="N378" s="262">
        <v>2031</v>
      </c>
      <c r="O378" s="262">
        <v>2032</v>
      </c>
      <c r="P378" s="262">
        <v>2033</v>
      </c>
      <c r="Q378" s="262">
        <v>2034</v>
      </c>
      <c r="R378" s="262">
        <v>2035</v>
      </c>
      <c r="S378" s="272"/>
      <c r="T378" s="272"/>
      <c r="U378" s="272"/>
      <c r="V378" s="272"/>
      <c r="W378" s="272"/>
      <c r="X378" s="272"/>
      <c r="Y378" s="272"/>
      <c r="Z378" s="272"/>
      <c r="AA378" s="272"/>
      <c r="AB378" s="272"/>
      <c r="AC378" s="272"/>
      <c r="AD378" s="272"/>
      <c r="AE378" s="272"/>
      <c r="AF378" s="272"/>
      <c r="AG378" s="272"/>
    </row>
    <row r="379" spans="1:33">
      <c r="A379" t="s">
        <v>918</v>
      </c>
      <c r="B379" t="s">
        <v>919</v>
      </c>
      <c r="C379" s="275">
        <v>46733.894466324382</v>
      </c>
      <c r="D379" s="277">
        <v>45126.970163183076</v>
      </c>
      <c r="E379" s="276">
        <v>42570.7213379639</v>
      </c>
      <c r="F379" s="277">
        <v>41885.540215123634</v>
      </c>
      <c r="G379" s="275">
        <v>41106.505096311164</v>
      </c>
      <c r="H379" s="275">
        <v>40515.624607059028</v>
      </c>
      <c r="I379" s="275">
        <v>40003.313299223824</v>
      </c>
      <c r="J379" s="275">
        <v>40361.927249935783</v>
      </c>
      <c r="K379" s="275">
        <v>40641.409676889845</v>
      </c>
      <c r="L379" s="275">
        <v>41116.260562556716</v>
      </c>
      <c r="M379" s="275">
        <v>42214.278305645057</v>
      </c>
      <c r="N379" s="275">
        <v>42227.283126118229</v>
      </c>
      <c r="O379" s="275">
        <v>41601.000153083376</v>
      </c>
      <c r="P379" s="275">
        <v>39967.866821848613</v>
      </c>
      <c r="Q379" s="275">
        <v>38774.6031790696</v>
      </c>
      <c r="R379" s="275">
        <v>37212.31550551574</v>
      </c>
      <c r="S379" s="311"/>
      <c r="T379" s="311"/>
      <c r="U379" s="311"/>
      <c r="V379" s="311"/>
      <c r="W379" s="311"/>
      <c r="X379" s="311"/>
      <c r="Y379" s="311"/>
      <c r="Z379" s="311"/>
      <c r="AA379" s="311"/>
      <c r="AB379" s="311"/>
      <c r="AC379" s="311"/>
      <c r="AD379" s="311"/>
      <c r="AE379" s="311"/>
      <c r="AF379" s="311"/>
      <c r="AG379" s="311"/>
    </row>
    <row r="380" spans="1:33">
      <c r="C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</row>
    <row r="382" spans="1:33" ht="19.5" customHeight="1">
      <c r="A382" s="265" t="s">
        <v>249</v>
      </c>
      <c r="B382" s="266"/>
      <c r="C382" s="267"/>
      <c r="D382" s="267"/>
      <c r="E382" s="268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</row>
    <row r="384" spans="1:33">
      <c r="A384" s="262" t="s">
        <v>920</v>
      </c>
      <c r="B384" s="262"/>
      <c r="C384" s="262">
        <v>2020</v>
      </c>
      <c r="D384" s="263">
        <v>2021</v>
      </c>
      <c r="E384" s="264">
        <v>2022</v>
      </c>
      <c r="F384" s="262">
        <v>2023</v>
      </c>
      <c r="G384" s="262">
        <v>2024</v>
      </c>
      <c r="H384" s="262">
        <v>2025</v>
      </c>
      <c r="I384" s="262">
        <v>2026</v>
      </c>
      <c r="J384" s="262">
        <v>2027</v>
      </c>
      <c r="K384" s="262">
        <v>2028</v>
      </c>
      <c r="L384" s="262">
        <v>2029</v>
      </c>
      <c r="M384" s="262">
        <v>2030</v>
      </c>
      <c r="N384" s="262">
        <v>2031</v>
      </c>
      <c r="O384" s="262">
        <v>2032</v>
      </c>
      <c r="P384" s="262">
        <v>2033</v>
      </c>
      <c r="Q384" s="262">
        <v>2034</v>
      </c>
      <c r="R384" s="262">
        <v>2035</v>
      </c>
      <c r="S384" s="272"/>
      <c r="T384" s="272"/>
      <c r="U384" s="272"/>
      <c r="V384" s="272"/>
      <c r="W384" s="272"/>
      <c r="X384" s="272"/>
      <c r="Y384" s="272"/>
      <c r="Z384" s="272"/>
      <c r="AA384" s="272"/>
      <c r="AB384" s="272"/>
      <c r="AC384" s="272"/>
      <c r="AD384" s="272"/>
      <c r="AE384" s="272"/>
      <c r="AF384" s="272"/>
      <c r="AG384" s="272"/>
    </row>
    <row r="385" spans="1:36">
      <c r="B385" t="s">
        <v>921</v>
      </c>
      <c r="C385" s="275">
        <v>2951.2475383975079</v>
      </c>
      <c r="D385" s="277">
        <v>2886.3552015508576</v>
      </c>
      <c r="E385" s="276">
        <v>2840.6210240740993</v>
      </c>
      <c r="F385" s="277">
        <v>2815.135011755734</v>
      </c>
      <c r="G385" s="275">
        <v>2746.1684905462575</v>
      </c>
      <c r="H385" s="275">
        <v>2693.6812418593067</v>
      </c>
      <c r="I385" s="275">
        <v>2647.3702143159267</v>
      </c>
      <c r="J385" s="275">
        <v>2435.9323093901635</v>
      </c>
      <c r="K385" s="275">
        <v>2329.6971296865336</v>
      </c>
      <c r="L385" s="275">
        <v>2248.9053106270103</v>
      </c>
      <c r="M385" s="275">
        <v>2158.810560903346</v>
      </c>
      <c r="N385" s="275">
        <v>2102.4710561405718</v>
      </c>
      <c r="O385" s="275">
        <v>2119.8651635352899</v>
      </c>
      <c r="P385" s="275">
        <v>2127.9873337041172</v>
      </c>
      <c r="Q385" s="275">
        <v>2131.5248005697777</v>
      </c>
      <c r="R385" s="275">
        <v>2132.7739983448464</v>
      </c>
      <c r="S385" s="311"/>
      <c r="T385" s="311"/>
      <c r="U385" s="311"/>
      <c r="V385" s="311"/>
      <c r="W385" s="311"/>
      <c r="X385" s="311"/>
      <c r="Y385" s="311"/>
      <c r="Z385" s="311"/>
      <c r="AA385" s="311"/>
      <c r="AB385" s="311"/>
      <c r="AC385" s="311"/>
      <c r="AD385" s="311"/>
      <c r="AE385" s="311"/>
      <c r="AF385" s="311"/>
      <c r="AG385" s="311"/>
    </row>
    <row r="386" spans="1:36">
      <c r="B386" t="s">
        <v>922</v>
      </c>
      <c r="C386" s="275">
        <v>70.522427544718965</v>
      </c>
      <c r="D386" s="277">
        <v>73.43371232767403</v>
      </c>
      <c r="E386" s="276">
        <v>76.522347470646778</v>
      </c>
      <c r="F386" s="277">
        <v>81.730567117983242</v>
      </c>
      <c r="G386" s="275">
        <v>86.088171021611529</v>
      </c>
      <c r="H386" s="275">
        <v>88.690730413715784</v>
      </c>
      <c r="I386" s="275">
        <v>60.045926313921015</v>
      </c>
      <c r="J386" s="275">
        <v>60.897685151512519</v>
      </c>
      <c r="K386" s="275">
        <v>61.786226170447222</v>
      </c>
      <c r="L386" s="275">
        <v>62.415801700135248</v>
      </c>
      <c r="M386" s="275">
        <v>63.04869640307902</v>
      </c>
      <c r="N386" s="275">
        <v>93.544349052557891</v>
      </c>
      <c r="O386" s="275">
        <v>94.43294733135852</v>
      </c>
      <c r="P386" s="275">
        <v>95.328940833416453</v>
      </c>
      <c r="Q386" s="275">
        <v>95.790400276769304</v>
      </c>
      <c r="R386" s="275">
        <v>96.713028711632475</v>
      </c>
      <c r="S386" s="311"/>
      <c r="T386" s="311"/>
      <c r="U386" s="311"/>
      <c r="V386" s="311"/>
      <c r="W386" s="311"/>
      <c r="X386" s="311"/>
      <c r="Y386" s="311"/>
      <c r="Z386" s="311"/>
      <c r="AA386" s="311"/>
      <c r="AB386" s="311"/>
      <c r="AC386" s="311"/>
      <c r="AD386" s="311"/>
      <c r="AE386" s="311"/>
      <c r="AF386" s="311"/>
      <c r="AG386" s="311"/>
    </row>
    <row r="387" spans="1:36">
      <c r="B387" t="s">
        <v>923</v>
      </c>
      <c r="C387" s="275">
        <v>188.5213348275276</v>
      </c>
      <c r="D387" s="277">
        <v>190.22290536221888</v>
      </c>
      <c r="E387" s="276">
        <v>180.55321957326726</v>
      </c>
      <c r="F387" s="277">
        <v>179.59025362419655</v>
      </c>
      <c r="G387" s="275">
        <v>178.66167931616414</v>
      </c>
      <c r="H387" s="275">
        <v>177.87067157228469</v>
      </c>
      <c r="I387" s="275">
        <v>117.63233662817055</v>
      </c>
      <c r="J387" s="275">
        <v>117.15566848338061</v>
      </c>
      <c r="K387" s="275">
        <v>116.58820640624971</v>
      </c>
      <c r="L387" s="275">
        <v>116.13423674454498</v>
      </c>
      <c r="M387" s="275">
        <v>115.65756859975501</v>
      </c>
      <c r="N387" s="275">
        <v>168.20008602874276</v>
      </c>
      <c r="O387" s="275">
        <v>167.63296786802223</v>
      </c>
      <c r="P387" s="275">
        <v>166.96577003188042</v>
      </c>
      <c r="Q387" s="275">
        <v>166.36529197935283</v>
      </c>
      <c r="R387" s="275">
        <v>165.76481392682518</v>
      </c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  <c r="AC387" s="311"/>
      <c r="AD387" s="311"/>
      <c r="AE387" s="311"/>
      <c r="AF387" s="311"/>
      <c r="AG387" s="311"/>
    </row>
    <row r="388" spans="1:36">
      <c r="B388" t="s">
        <v>924</v>
      </c>
      <c r="C388" s="275">
        <v>392.90180231546242</v>
      </c>
      <c r="D388" s="277">
        <v>394.2952276529212</v>
      </c>
      <c r="E388" s="276">
        <v>395.02187601147159</v>
      </c>
      <c r="F388" s="277">
        <v>393.64544291229129</v>
      </c>
      <c r="G388" s="275">
        <v>394.47130277179951</v>
      </c>
      <c r="H388" s="275">
        <v>395.84773587097982</v>
      </c>
      <c r="I388" s="275">
        <v>397.49945558999605</v>
      </c>
      <c r="J388" s="275">
        <v>401.77611786761315</v>
      </c>
      <c r="K388" s="275">
        <v>403.42783758662949</v>
      </c>
      <c r="L388" s="275">
        <v>405.07955730564584</v>
      </c>
      <c r="M388" s="275">
        <v>409.35621958326294</v>
      </c>
      <c r="N388" s="275">
        <v>411.00793930227928</v>
      </c>
      <c r="O388" s="275">
        <v>412.38437240145959</v>
      </c>
      <c r="P388" s="275">
        <v>413.76080550063966</v>
      </c>
      <c r="Q388" s="275">
        <v>418.03746777825688</v>
      </c>
      <c r="R388" s="275">
        <v>419.41390087743707</v>
      </c>
      <c r="S388" s="311"/>
      <c r="T388" s="311"/>
      <c r="U388" s="311"/>
      <c r="V388" s="311"/>
      <c r="W388" s="311"/>
      <c r="X388" s="311"/>
      <c r="Y388" s="311"/>
      <c r="Z388" s="311"/>
      <c r="AA388" s="311"/>
      <c r="AB388" s="311"/>
      <c r="AC388" s="311"/>
      <c r="AD388" s="311"/>
      <c r="AE388" s="311"/>
      <c r="AF388" s="311"/>
      <c r="AG388" s="311"/>
    </row>
    <row r="389" spans="1:36">
      <c r="B389" t="s">
        <v>925</v>
      </c>
      <c r="C389" s="275">
        <v>3603.193103085217</v>
      </c>
      <c r="D389" s="277">
        <v>3544.3070468936721</v>
      </c>
      <c r="E389" s="276">
        <v>3492.7184671294845</v>
      </c>
      <c r="F389" s="277">
        <v>3470.1012754102053</v>
      </c>
      <c r="G389" s="275">
        <v>3405.389643655833</v>
      </c>
      <c r="H389" s="275">
        <v>3356.0903797162869</v>
      </c>
      <c r="I389" s="275">
        <v>3222.5479328480142</v>
      </c>
      <c r="J389" s="275">
        <v>3015.7617808926698</v>
      </c>
      <c r="K389" s="275">
        <v>2911.4993998498599</v>
      </c>
      <c r="L389" s="275">
        <v>2832.5349063773369</v>
      </c>
      <c r="M389" s="275">
        <v>2746.873045489443</v>
      </c>
      <c r="N389" s="275">
        <v>2775.2234305241518</v>
      </c>
      <c r="O389" s="275">
        <v>2794.3154511361304</v>
      </c>
      <c r="P389" s="275">
        <v>2804.0428500700536</v>
      </c>
      <c r="Q389" s="275">
        <v>2811.7179606041564</v>
      </c>
      <c r="R389" s="275">
        <v>2814.665741860741</v>
      </c>
      <c r="S389" s="311"/>
      <c r="T389" s="311"/>
      <c r="U389" s="311"/>
      <c r="V389" s="311"/>
      <c r="W389" s="311"/>
      <c r="X389" s="311"/>
      <c r="Y389" s="311"/>
      <c r="Z389" s="311"/>
      <c r="AA389" s="311"/>
      <c r="AB389" s="311"/>
      <c r="AC389" s="311"/>
      <c r="AD389" s="311"/>
      <c r="AE389" s="311"/>
      <c r="AF389" s="311"/>
      <c r="AG389" s="311"/>
    </row>
    <row r="390" spans="1:36">
      <c r="C390" s="277"/>
      <c r="D390" s="277"/>
      <c r="E390" s="276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611"/>
      <c r="T390" s="611"/>
      <c r="U390" s="611"/>
      <c r="V390" s="611"/>
      <c r="W390" s="611"/>
      <c r="X390" s="611"/>
      <c r="Y390" s="611"/>
      <c r="Z390" s="611"/>
      <c r="AA390" s="611"/>
      <c r="AB390" s="611"/>
      <c r="AC390" s="611"/>
      <c r="AD390" s="611"/>
      <c r="AE390" s="611"/>
      <c r="AF390" s="611"/>
      <c r="AG390" s="611"/>
    </row>
    <row r="391" spans="1:36">
      <c r="A391" s="262" t="s">
        <v>926</v>
      </c>
      <c r="B391" s="262"/>
      <c r="C391" s="262">
        <v>2020</v>
      </c>
      <c r="D391" s="263">
        <v>2021</v>
      </c>
      <c r="E391" s="264">
        <v>2022</v>
      </c>
      <c r="F391" s="262">
        <v>2023</v>
      </c>
      <c r="G391" s="262">
        <v>2024</v>
      </c>
      <c r="H391" s="262">
        <v>2025</v>
      </c>
      <c r="I391" s="262">
        <v>2026</v>
      </c>
      <c r="J391" s="262">
        <v>2027</v>
      </c>
      <c r="K391" s="262">
        <v>2028</v>
      </c>
      <c r="L391" s="262">
        <v>2029</v>
      </c>
      <c r="M391" s="262">
        <v>2030</v>
      </c>
      <c r="N391" s="262">
        <v>2031</v>
      </c>
      <c r="O391" s="262">
        <v>2032</v>
      </c>
      <c r="P391" s="262">
        <v>2033</v>
      </c>
      <c r="Q391" s="262">
        <v>2034</v>
      </c>
      <c r="R391" s="262">
        <v>2035</v>
      </c>
      <c r="S391" s="272"/>
      <c r="T391" s="272"/>
      <c r="U391" s="272"/>
      <c r="V391" s="272"/>
      <c r="W391" s="272"/>
      <c r="X391" s="272"/>
      <c r="Y391" s="272"/>
      <c r="Z391" s="272"/>
      <c r="AA391" s="272"/>
      <c r="AB391" s="272"/>
      <c r="AC391" s="272"/>
      <c r="AD391" s="272"/>
      <c r="AE391" s="272"/>
      <c r="AF391" s="272"/>
      <c r="AG391" s="272"/>
    </row>
    <row r="392" spans="1:36">
      <c r="B392" t="s">
        <v>879</v>
      </c>
      <c r="C392" s="275">
        <v>87.005944859291887</v>
      </c>
      <c r="D392" s="277">
        <v>87.789900246565793</v>
      </c>
      <c r="E392" s="276">
        <v>83.334838224187436</v>
      </c>
      <c r="F392" s="277">
        <v>82.891176131935069</v>
      </c>
      <c r="G392" s="275">
        <v>82.463359114406018</v>
      </c>
      <c r="H392" s="275">
        <v>82.09892239577016</v>
      </c>
      <c r="I392" s="275">
        <v>54.345640214924586</v>
      </c>
      <c r="J392" s="275">
        <v>54.126027479259683</v>
      </c>
      <c r="K392" s="275">
        <v>53.864583746325273</v>
      </c>
      <c r="L392" s="275">
        <v>53.655428759977738</v>
      </c>
      <c r="M392" s="275">
        <v>53.435816024312814</v>
      </c>
      <c r="N392" s="275">
        <v>77.643445834325973</v>
      </c>
      <c r="O392" s="275">
        <v>77.382160552138785</v>
      </c>
      <c r="P392" s="275">
        <v>77.0747661025068</v>
      </c>
      <c r="Q392" s="275">
        <v>76.798111097838046</v>
      </c>
      <c r="R392" s="275">
        <v>76.521456093169235</v>
      </c>
      <c r="S392" s="311"/>
      <c r="T392" s="311"/>
      <c r="U392" s="311"/>
      <c r="V392" s="311"/>
      <c r="W392" s="311"/>
      <c r="X392" s="311"/>
      <c r="Y392" s="311"/>
      <c r="Z392" s="311"/>
      <c r="AA392" s="311"/>
      <c r="AB392" s="311"/>
      <c r="AC392" s="311"/>
      <c r="AD392" s="311"/>
      <c r="AE392" s="311"/>
      <c r="AF392" s="311"/>
      <c r="AG392" s="311"/>
    </row>
    <row r="393" spans="1:36">
      <c r="B393" t="s">
        <v>881</v>
      </c>
      <c r="C393" s="275">
        <v>3367.6199666693037</v>
      </c>
      <c r="D393" s="277">
        <v>3306.7087911887124</v>
      </c>
      <c r="E393" s="276">
        <v>3258.703292495637</v>
      </c>
      <c r="F393" s="277">
        <v>3234.977320538786</v>
      </c>
      <c r="G393" s="275">
        <v>3169.3179398591869</v>
      </c>
      <c r="H393" s="275">
        <v>3119.6322013652884</v>
      </c>
      <c r="I393" s="275">
        <v>3028.9443004898694</v>
      </c>
      <c r="J393" s="275">
        <v>2819.4824353669055</v>
      </c>
      <c r="K393" s="275">
        <v>2715.2050522070795</v>
      </c>
      <c r="L393" s="275">
        <v>2636.2579873561781</v>
      </c>
      <c r="M393" s="275">
        <v>2547.9996829986358</v>
      </c>
      <c r="N393" s="275">
        <v>2537.0953351418989</v>
      </c>
      <c r="O393" s="275">
        <v>2556.1721469491845</v>
      </c>
      <c r="P393" s="275">
        <v>2565.935769758938</v>
      </c>
      <c r="Q393" s="275">
        <v>2571.1434700168816</v>
      </c>
      <c r="R393" s="275">
        <v>2574.206356153516</v>
      </c>
      <c r="S393" s="311"/>
      <c r="T393" s="311"/>
      <c r="U393" s="311"/>
      <c r="V393" s="311"/>
      <c r="W393" s="311"/>
      <c r="X393" s="311"/>
      <c r="Y393" s="311"/>
      <c r="Z393" s="311"/>
      <c r="AA393" s="311"/>
      <c r="AB393" s="311"/>
      <c r="AC393" s="311"/>
      <c r="AD393" s="311"/>
      <c r="AE393" s="311"/>
      <c r="AF393" s="311"/>
      <c r="AG393" s="311"/>
      <c r="AI393" s="613"/>
      <c r="AJ393" s="613"/>
    </row>
    <row r="394" spans="1:36">
      <c r="B394" t="s">
        <v>880</v>
      </c>
      <c r="C394" s="275">
        <v>148.56719155662131</v>
      </c>
      <c r="D394" s="277">
        <v>149.808355458394</v>
      </c>
      <c r="E394" s="276">
        <v>150.68033640965979</v>
      </c>
      <c r="F394" s="277">
        <v>152.23277873948444</v>
      </c>
      <c r="G394" s="275">
        <v>153.60834468223985</v>
      </c>
      <c r="H394" s="275">
        <v>154.35925595522863</v>
      </c>
      <c r="I394" s="275">
        <v>139.25799214322006</v>
      </c>
      <c r="J394" s="275">
        <v>142.15331804650424</v>
      </c>
      <c r="K394" s="275">
        <v>142.42976389645503</v>
      </c>
      <c r="L394" s="275">
        <v>142.62149026118078</v>
      </c>
      <c r="M394" s="275">
        <v>145.43754646649458</v>
      </c>
      <c r="N394" s="275">
        <v>160.48464954792692</v>
      </c>
      <c r="O394" s="275">
        <v>160.76114363480693</v>
      </c>
      <c r="P394" s="275">
        <v>161.03231420860882</v>
      </c>
      <c r="Q394" s="275">
        <v>163.77637948943683</v>
      </c>
      <c r="R394" s="275">
        <v>163.93792961405612</v>
      </c>
      <c r="S394" s="311"/>
      <c r="T394" s="311"/>
      <c r="U394" s="311"/>
      <c r="V394" s="311"/>
      <c r="W394" s="311"/>
      <c r="X394" s="311"/>
      <c r="Y394" s="311"/>
      <c r="Z394" s="311"/>
      <c r="AA394" s="311"/>
      <c r="AB394" s="311"/>
      <c r="AC394" s="311"/>
      <c r="AD394" s="311"/>
      <c r="AE394" s="311"/>
      <c r="AF394" s="311"/>
      <c r="AG394" s="311"/>
    </row>
    <row r="395" spans="1:36">
      <c r="B395" t="s">
        <v>150</v>
      </c>
      <c r="C395" s="275">
        <v>3603.193103085217</v>
      </c>
      <c r="D395" s="277">
        <v>3544.3070468936721</v>
      </c>
      <c r="E395" s="276">
        <v>3492.7184671294845</v>
      </c>
      <c r="F395" s="277">
        <v>3470.1012754102053</v>
      </c>
      <c r="G395" s="275">
        <v>3405.389643655833</v>
      </c>
      <c r="H395" s="275">
        <v>3356.0903797162869</v>
      </c>
      <c r="I395" s="275">
        <v>3222.5479328480142</v>
      </c>
      <c r="J395" s="275">
        <v>3015.7617808926698</v>
      </c>
      <c r="K395" s="275">
        <v>2911.4993998498599</v>
      </c>
      <c r="L395" s="275">
        <v>2832.5349063773369</v>
      </c>
      <c r="M395" s="275">
        <v>2746.873045489443</v>
      </c>
      <c r="N395" s="275">
        <v>2775.2234305241518</v>
      </c>
      <c r="O395" s="275">
        <v>2794.3154511361304</v>
      </c>
      <c r="P395" s="275">
        <v>2804.0428500700536</v>
      </c>
      <c r="Q395" s="275">
        <v>2811.7179606041564</v>
      </c>
      <c r="R395" s="275">
        <v>2814.665741860741</v>
      </c>
      <c r="S395" s="311"/>
      <c r="T395" s="311"/>
      <c r="U395" s="311"/>
      <c r="V395" s="311"/>
      <c r="W395" s="311"/>
      <c r="X395" s="311"/>
      <c r="Y395" s="311"/>
      <c r="Z395" s="311"/>
      <c r="AA395" s="311"/>
      <c r="AB395" s="311"/>
      <c r="AC395" s="311"/>
      <c r="AD395" s="311"/>
      <c r="AE395" s="311"/>
      <c r="AF395" s="311"/>
      <c r="AG395" s="311"/>
    </row>
    <row r="396" spans="1:36">
      <c r="C396" s="33"/>
      <c r="D396" s="33"/>
      <c r="E396" s="290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11"/>
      <c r="T396" s="311"/>
      <c r="U396" s="311"/>
      <c r="V396" s="311"/>
      <c r="W396" s="311"/>
      <c r="X396" s="311"/>
      <c r="Y396" s="311"/>
      <c r="Z396" s="311"/>
      <c r="AA396" s="311"/>
      <c r="AB396" s="311"/>
      <c r="AC396" s="311"/>
      <c r="AD396" s="311"/>
      <c r="AE396" s="311"/>
      <c r="AF396" s="311"/>
      <c r="AG396" s="311"/>
    </row>
    <row r="397" spans="1:36">
      <c r="A397" s="262" t="s">
        <v>927</v>
      </c>
      <c r="B397" s="262"/>
      <c r="C397" s="262">
        <v>2020</v>
      </c>
      <c r="D397" s="263">
        <v>2021</v>
      </c>
      <c r="E397" s="264">
        <v>2022</v>
      </c>
      <c r="F397" s="262">
        <v>2023</v>
      </c>
      <c r="G397" s="262">
        <v>2024</v>
      </c>
      <c r="H397" s="262">
        <v>2025</v>
      </c>
      <c r="I397" s="262">
        <v>2026</v>
      </c>
      <c r="J397" s="262">
        <v>2027</v>
      </c>
      <c r="K397" s="262">
        <v>2028</v>
      </c>
      <c r="L397" s="262">
        <v>2029</v>
      </c>
      <c r="M397" s="262">
        <v>2030</v>
      </c>
      <c r="N397" s="262">
        <v>2031</v>
      </c>
      <c r="O397" s="262">
        <v>2032</v>
      </c>
      <c r="P397" s="262">
        <v>2033</v>
      </c>
      <c r="Q397" s="262">
        <v>2034</v>
      </c>
      <c r="R397" s="262">
        <v>2035</v>
      </c>
      <c r="S397" s="272"/>
      <c r="T397" s="272"/>
      <c r="U397" s="272"/>
      <c r="V397" s="272"/>
      <c r="W397" s="272"/>
      <c r="X397" s="272"/>
      <c r="Y397" s="272"/>
      <c r="Z397" s="272"/>
      <c r="AA397" s="272"/>
      <c r="AB397" s="272"/>
      <c r="AC397" s="272"/>
      <c r="AD397" s="272"/>
      <c r="AE397" s="272"/>
      <c r="AF397" s="272"/>
      <c r="AG397" s="272"/>
    </row>
    <row r="398" spans="1:36">
      <c r="B398" t="s">
        <v>928</v>
      </c>
      <c r="C398" s="275">
        <v>8952.1999999999989</v>
      </c>
      <c r="D398" s="277">
        <v>9103.307961999999</v>
      </c>
      <c r="E398" s="276">
        <v>9200.60352375</v>
      </c>
      <c r="F398" s="277">
        <v>9144.3744671899985</v>
      </c>
      <c r="G398" s="275">
        <v>8970.9315431899977</v>
      </c>
      <c r="H398" s="275">
        <v>8890.8157710799987</v>
      </c>
      <c r="I398" s="275">
        <v>8729.0792951846524</v>
      </c>
      <c r="J398" s="275">
        <v>8546.9888662579087</v>
      </c>
      <c r="K398" s="275">
        <v>8355.5338771451206</v>
      </c>
      <c r="L398" s="275">
        <v>8204.1828123716368</v>
      </c>
      <c r="M398" s="275">
        <v>8049.1214772881531</v>
      </c>
      <c r="N398" s="275">
        <v>7908.3100103500174</v>
      </c>
      <c r="O398" s="275">
        <v>7852.4138574086246</v>
      </c>
      <c r="P398" s="275">
        <v>7831.6178506479282</v>
      </c>
      <c r="Q398" s="275">
        <v>7844.3830939779273</v>
      </c>
      <c r="R398" s="275">
        <v>7836.8250698379288</v>
      </c>
      <c r="S398" s="275"/>
      <c r="T398" s="275"/>
      <c r="U398" s="275"/>
      <c r="V398" s="275"/>
      <c r="W398" s="275"/>
      <c r="X398" s="275"/>
      <c r="Y398" s="275"/>
      <c r="Z398" s="275"/>
      <c r="AA398" s="275"/>
      <c r="AB398" s="275"/>
      <c r="AC398" s="275"/>
      <c r="AD398" s="275"/>
      <c r="AE398" s="275"/>
      <c r="AF398" s="275"/>
      <c r="AG398" s="275"/>
    </row>
    <row r="399" spans="1:36">
      <c r="B399" t="s">
        <v>929</v>
      </c>
      <c r="C399" s="275">
        <v>399.19999999999993</v>
      </c>
      <c r="D399" s="277">
        <v>419.26970319999998</v>
      </c>
      <c r="E399" s="276">
        <v>437.38116580000002</v>
      </c>
      <c r="F399" s="277">
        <v>461.42278649999997</v>
      </c>
      <c r="G399" s="275">
        <v>483.46609760000001</v>
      </c>
      <c r="H399" s="275">
        <v>503.48949188313247</v>
      </c>
      <c r="I399" s="275">
        <v>550.45500101204823</v>
      </c>
      <c r="J399" s="275">
        <v>605.81604036626504</v>
      </c>
      <c r="K399" s="275">
        <v>667.88236770843378</v>
      </c>
      <c r="L399" s="275">
        <v>721.31925546265063</v>
      </c>
      <c r="M399" s="275">
        <v>774.75687586867468</v>
      </c>
      <c r="N399" s="275">
        <v>823.14788468192774</v>
      </c>
      <c r="O399" s="275">
        <v>847.57220869397611</v>
      </c>
      <c r="P399" s="275">
        <v>862.43197657590349</v>
      </c>
      <c r="Q399" s="275">
        <v>865.15112927590349</v>
      </c>
      <c r="R399" s="275">
        <v>867.7241418759038</v>
      </c>
      <c r="S399" s="275"/>
      <c r="T399" s="275"/>
      <c r="U399" s="275"/>
      <c r="V399" s="275"/>
      <c r="W399" s="275"/>
      <c r="X399" s="275"/>
      <c r="Y399" s="275"/>
      <c r="Z399" s="275"/>
      <c r="AA399" s="275"/>
      <c r="AB399" s="275"/>
      <c r="AC399" s="275"/>
      <c r="AD399" s="275"/>
      <c r="AE399" s="275"/>
      <c r="AF399" s="275"/>
      <c r="AG399" s="275"/>
    </row>
    <row r="400" spans="1:36">
      <c r="B400" t="s">
        <v>930</v>
      </c>
      <c r="C400" s="275">
        <v>0</v>
      </c>
      <c r="D400" s="277">
        <v>0</v>
      </c>
      <c r="E400" s="276">
        <v>20</v>
      </c>
      <c r="F400" s="277">
        <v>40</v>
      </c>
      <c r="G400" s="275">
        <v>60</v>
      </c>
      <c r="H400" s="275">
        <v>84.651807228915658</v>
      </c>
      <c r="I400" s="275">
        <v>125.99156626506023</v>
      </c>
      <c r="J400" s="275">
        <v>153.85361445783133</v>
      </c>
      <c r="K400" s="275">
        <v>185.42409638554216</v>
      </c>
      <c r="L400" s="275">
        <v>213.28614457831327</v>
      </c>
      <c r="M400" s="275">
        <v>241.13192771084337</v>
      </c>
      <c r="N400" s="275">
        <v>266.21265060240961</v>
      </c>
      <c r="O400" s="275">
        <v>277.35421686746986</v>
      </c>
      <c r="P400" s="275">
        <v>282.91686746987943</v>
      </c>
      <c r="Q400" s="275">
        <v>282.91686746987943</v>
      </c>
      <c r="R400" s="275">
        <v>302.91686746987943</v>
      </c>
      <c r="S400" s="275"/>
      <c r="T400" s="275"/>
      <c r="U400" s="275"/>
      <c r="V400" s="275"/>
      <c r="W400" s="275"/>
      <c r="X400" s="275"/>
      <c r="Y400" s="275"/>
      <c r="Z400" s="275"/>
      <c r="AA400" s="275"/>
      <c r="AB400" s="275"/>
      <c r="AC400" s="275"/>
      <c r="AD400" s="275"/>
      <c r="AE400" s="275"/>
      <c r="AF400" s="275"/>
      <c r="AG400" s="275"/>
    </row>
    <row r="401" spans="2:33">
      <c r="B401" t="s">
        <v>931</v>
      </c>
      <c r="C401" s="275">
        <v>0</v>
      </c>
      <c r="D401" s="277">
        <v>0</v>
      </c>
      <c r="E401" s="276">
        <v>0</v>
      </c>
      <c r="F401" s="277">
        <v>0</v>
      </c>
      <c r="G401" s="275">
        <v>0</v>
      </c>
      <c r="H401" s="275">
        <v>5.0825301204819278</v>
      </c>
      <c r="I401" s="275">
        <v>28.398192771084339</v>
      </c>
      <c r="J401" s="275">
        <v>58.840060240963858</v>
      </c>
      <c r="K401" s="275">
        <v>93.33373493975904</v>
      </c>
      <c r="L401" s="275">
        <v>123.77560240963855</v>
      </c>
      <c r="M401" s="275">
        <v>154.19969879518072</v>
      </c>
      <c r="N401" s="275">
        <v>181.60271084337347</v>
      </c>
      <c r="O401" s="275">
        <v>193.77590361445783</v>
      </c>
      <c r="P401" s="275">
        <v>199.8536144578313</v>
      </c>
      <c r="Q401" s="275">
        <v>199.8536144578313</v>
      </c>
      <c r="R401" s="275">
        <v>199.8536144578313</v>
      </c>
      <c r="S401" s="275"/>
      <c r="T401" s="275"/>
      <c r="U401" s="275"/>
      <c r="V401" s="275"/>
      <c r="W401" s="275"/>
      <c r="X401" s="275"/>
      <c r="Y401" s="275"/>
      <c r="Z401" s="275"/>
      <c r="AA401" s="275"/>
      <c r="AB401" s="275"/>
      <c r="AC401" s="275"/>
      <c r="AD401" s="275"/>
      <c r="AE401" s="275"/>
      <c r="AF401" s="275"/>
      <c r="AG401" s="275"/>
    </row>
    <row r="402" spans="2:33">
      <c r="B402" t="s">
        <v>932</v>
      </c>
      <c r="C402" s="275">
        <v>0</v>
      </c>
      <c r="D402" s="277">
        <v>0</v>
      </c>
      <c r="E402" s="276">
        <v>0</v>
      </c>
      <c r="F402" s="277">
        <v>0</v>
      </c>
      <c r="G402" s="275">
        <v>0</v>
      </c>
      <c r="H402" s="275">
        <v>3.0197224400000007</v>
      </c>
      <c r="I402" s="275">
        <v>16.910636147943862</v>
      </c>
      <c r="J402" s="275">
        <v>35.029923207663167</v>
      </c>
      <c r="K402" s="275">
        <v>55.565559671214054</v>
      </c>
      <c r="L402" s="275">
        <v>73.68579915065267</v>
      </c>
      <c r="M402" s="275">
        <v>91.80603863009128</v>
      </c>
      <c r="N402" s="275">
        <v>108.11425416158603</v>
      </c>
      <c r="O402" s="275">
        <v>115.36234995336149</v>
      </c>
      <c r="P402" s="275">
        <v>118.98639784924919</v>
      </c>
      <c r="Q402" s="275">
        <v>118.98639784924919</v>
      </c>
      <c r="R402" s="275">
        <v>118.98639784924919</v>
      </c>
      <c r="S402" s="275"/>
      <c r="T402" s="275"/>
      <c r="U402" s="275"/>
      <c r="V402" s="275"/>
      <c r="W402" s="275"/>
      <c r="X402" s="275"/>
      <c r="Y402" s="275"/>
      <c r="Z402" s="275"/>
      <c r="AA402" s="275"/>
      <c r="AB402" s="275"/>
      <c r="AC402" s="275"/>
      <c r="AD402" s="275"/>
      <c r="AE402" s="275"/>
      <c r="AF402" s="275"/>
      <c r="AG402" s="275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DEA3-5759-4FB9-A466-ADEB0806C48C}">
  <dimension ref="A1:B9"/>
  <sheetViews>
    <sheetView workbookViewId="0">
      <selection activeCell="A10" sqref="A10"/>
    </sheetView>
  </sheetViews>
  <sheetFormatPr defaultRowHeight="15"/>
  <sheetData>
    <row r="1" spans="1:2" s="157" customFormat="1">
      <c r="A1" s="158" t="s">
        <v>933</v>
      </c>
    </row>
    <row r="2" spans="1:2">
      <c r="A2" t="s">
        <v>881</v>
      </c>
      <c r="B2">
        <v>28</v>
      </c>
    </row>
    <row r="3" spans="1:2">
      <c r="A3" t="s">
        <v>880</v>
      </c>
      <c r="B3">
        <v>265</v>
      </c>
    </row>
    <row r="4" spans="1:2">
      <c r="A4" t="s">
        <v>699</v>
      </c>
      <c r="B4">
        <v>23500</v>
      </c>
    </row>
    <row r="8" spans="1:2">
      <c r="A8" t="s">
        <v>934</v>
      </c>
    </row>
    <row r="9" spans="1:2">
      <c r="A9" s="48" t="s">
        <v>935</v>
      </c>
    </row>
  </sheetData>
  <hyperlinks>
    <hyperlink ref="A9" r:id="rId1" xr:uid="{18975C94-9EDF-49C5-97DB-1C53C33A5B0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EDD070CD8C3B1241AF2B72868218A723" ma:contentTypeVersion="164" ma:contentTypeDescription="Create a new document." ma:contentTypeScope="" ma:versionID="778a83b86ddc45f787996ec26184b5b6">
  <xsd:schema xmlns:xsd="http://www.w3.org/2001/XMLSchema" xmlns:xs="http://www.w3.org/2001/XMLSchema" xmlns:p="http://schemas.microsoft.com/office/2006/metadata/properties" xmlns:ns2="e963e69f-3f58-4e6f-b74a-87e86ca2e125" xmlns:ns3="02bffcbe-7cf8-467d-a91b-a3e0dbcae01e" xmlns:ns4="a9df0e0e-9b5b-47bc-81c1-d190dfb54f87" xmlns:ns5="b30672e7-690a-4c93-a50a-a028bc8f475d" xmlns:ns6="70761194-623b-4751-a0da-29ad6551f95e" xmlns:ns7="987bcd1d-e1f1-4f53-92ab-ce8c6eb15727" targetNamespace="http://schemas.microsoft.com/office/2006/metadata/properties" ma:root="true" ma:fieldsID="30caeeb8509e744b18fbc02212b6cac4" ns2:_="" ns3:_="" ns4:_="" ns5:_="" ns6:_="" ns7:_="">
    <xsd:import namespace="e963e69f-3f58-4e6f-b74a-87e86ca2e125"/>
    <xsd:import namespace="02bffcbe-7cf8-467d-a91b-a3e0dbcae01e"/>
    <xsd:import namespace="a9df0e0e-9b5b-47bc-81c1-d190dfb54f87"/>
    <xsd:import namespace="b30672e7-690a-4c93-a50a-a028bc8f475d"/>
    <xsd:import namespace="70761194-623b-4751-a0da-29ad6551f95e"/>
    <xsd:import namespace="987bcd1d-e1f1-4f53-92ab-ce8c6eb157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Narrative" minOccurs="0"/>
                <xsd:element ref="ns5:OTDocID" minOccurs="0"/>
                <xsd:element ref="ns5:OTModifiedBy" minOccurs="0"/>
                <xsd:element ref="ns5:LegacyMetadata" minOccurs="0"/>
                <xsd:element ref="ns5:OTCreatedBy" minOccurs="0"/>
                <xsd:element ref="ns4:PraText3" minOccurs="0"/>
                <xsd:element ref="ns4:PraText4" minOccurs="0"/>
                <xsd:element ref="ns4:PraText5" minOccurs="0"/>
                <xsd:element ref="ns4:PraDate1" minOccurs="0"/>
                <xsd:element ref="ns4:PraDate2" minOccurs="0"/>
                <xsd:element ref="ns4:PraDate3" minOccurs="0"/>
                <xsd:element ref="ns4:PraDateTrigger" minOccurs="0"/>
                <xsd:element ref="ns4:PraDateDisposal" minOccurs="0"/>
                <xsd:element ref="ns6:Activity" minOccurs="0"/>
                <xsd:element ref="ns6:Function" minOccurs="0"/>
                <xsd:element ref="ns6:Subactivity" minOccurs="0"/>
                <xsd:element ref="ns6:Year" minOccurs="0"/>
                <xsd:element ref="ns6:Project" minOccurs="0"/>
                <xsd:element ref="ns6:AggregationNarrative" minOccurs="0"/>
                <xsd:element ref="ns6:Case" minOccurs="0"/>
                <xsd:element ref="ns6:CategoryName" minOccurs="0"/>
                <xsd:element ref="ns6:CategoryValue" minOccurs="0"/>
                <xsd:element ref="ns4:PraText1" minOccurs="0"/>
                <xsd:element ref="ns4:PraText2" minOccurs="0"/>
                <xsd:element ref="ns6:PRAType" minOccurs="0"/>
                <xsd:element ref="ns4:AggregationStatus" minOccurs="0"/>
                <xsd:element ref="ns5:Channel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DateTaken" minOccurs="0"/>
                <xsd:element ref="ns7:MediaLengthInSeconds" minOccurs="0"/>
                <xsd:element ref="ns7:MediaServiceObjectDetectorVersions" minOccurs="0"/>
                <xsd:element ref="ns7:MediaServiceSearchProperties" minOccurs="0"/>
                <xsd:element ref="ns7:MediaServiceLocation" minOccurs="0"/>
                <xsd:element ref="ns7:MediaServiceGenerationTime" minOccurs="0"/>
                <xsd:element ref="ns7:MediaServiceEventHashCode" minOccurs="0"/>
                <xsd:element ref="ns7:lcf76f155ced4ddcb4097134ff3c332f" minOccurs="0"/>
                <xsd:element ref="ns2:TaxCatchAll" minOccurs="0"/>
                <xsd:element ref="ns7:MediaServiceOCR" minOccurs="0"/>
                <xsd:element ref="ns7:Expect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3e69f-3f58-4e6f-b74a-87e86ca2e12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54" nillable="true" ma:displayName="Taxonomy Catch All Column" ma:hidden="true" ma:list="{efad8709-ae55-4347-b905-7e7cf6e9434f}" ma:internalName="TaxCatchAll" ma:showField="CatchAllData" ma:web="e963e69f-3f58-4e6f-b74a-87e86ca2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12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PraText3" ma:index="17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8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9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20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21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22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3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4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PraText1" ma:index="34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35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AggregationStatus" ma:index="37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72e7-690a-4c93-a50a-a028bc8f475d" elementFormDefault="qualified">
    <xsd:import namespace="http://schemas.microsoft.com/office/2006/documentManagement/types"/>
    <xsd:import namespace="http://schemas.microsoft.com/office/infopath/2007/PartnerControls"/>
    <xsd:element name="OTDocID" ma:index="13" nillable="true" ma:displayName="OTDocID" ma:internalName="OTDocID" ma:readOnly="false">
      <xsd:simpleType>
        <xsd:restriction base="dms:Text">
          <xsd:maxLength value="255"/>
        </xsd:restriction>
      </xsd:simpleType>
    </xsd:element>
    <xsd:element name="OTModifiedBy" ma:index="14" nillable="true" ma:displayName="OTModifiedBy" ma:internalName="OTModifiedBy" ma:readOnly="false">
      <xsd:simpleType>
        <xsd:restriction base="dms:Text">
          <xsd:maxLength value="255"/>
        </xsd:restriction>
      </xsd:simpleType>
    </xsd:element>
    <xsd:element name="LegacyMetadata" ma:index="15" nillable="true" ma:displayName="LegacyMetadata" ma:internalName="LegacyMetadata" ma:readOnly="false">
      <xsd:simpleType>
        <xsd:restriction base="dms:Note">
          <xsd:maxLength value="255"/>
        </xsd:restriction>
      </xsd:simpleType>
    </xsd:element>
    <xsd:element name="OTCreatedBy" ma:index="16" nillable="true" ma:displayName="OTCreatedBy" ma:internalName="OTCreatedBy" ma:readOnly="false">
      <xsd:simpleType>
        <xsd:restriction base="dms:Text">
          <xsd:maxLength value="255"/>
        </xsd:restriction>
      </xsd:simpleType>
    </xsd:element>
    <xsd:element name="Channel" ma:index="38" nillable="true" ma:displayName="Channel" ma:hidden="true" ma:internalName="Chann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Activity" ma:index="25" nillable="true" ma:displayName="Activity" ma:default="Advice" ma:format="Dropdown" ma:hidden="true" ma:internalName="Activity" ma:readOnly="false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Function" ma:index="26" nillable="true" ma:displayName="Function" ma:default="Programmes and Projects" ma:format="Dropdown" ma:hidden="true" ma:internalName="Function" ma:readOnly="false">
      <xsd:simpleType>
        <xsd:union memberTypes="dms:Text">
          <xsd:simpleType>
            <xsd:restriction base="dms:Choice">
              <xsd:enumeration value="Programmes and Projects"/>
            </xsd:restriction>
          </xsd:simpleType>
        </xsd:union>
      </xsd:simpleType>
    </xsd:element>
    <xsd:element name="Subactivity" ma:index="27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Year" ma:index="28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9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3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31" nillable="true" ma:displayName="Case" ma:default="ETS Unit and Price Settings" ma:format="Dropdown" ma:hidden="true" ma:internalName="Case" ma:readOnly="false">
      <xsd:simpleType>
        <xsd:restriction base="dms:Choice">
          <xsd:enumeration value="ETS Unit and Price Settings"/>
        </xsd:restriction>
      </xsd:simpleType>
    </xsd:element>
    <xsd:element name="CategoryName" ma:index="32" nillable="true" ma:displayName="Category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3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PRAType" ma:index="36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bcd1d-e1f1-4f53-92ab-ce8c6eb15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5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c284cdd8-0240-42f9-af2b-4d59cbd29a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xpectation" ma:index="56" nillable="true" ma:displayName="QA/QC Expectation" ma:format="Dropdown" ma:internalName="Expect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. Our outputs meet the Board's approved scope"/>
                    <xsd:enumeration value="2. Our outputs address the required matters"/>
                    <xsd:enumeration value="3. We understand the broader context"/>
                    <xsd:enumeration value="4. Our outputs reflect we follow the proper delegations process"/>
                    <xsd:enumeration value="5. Our outputs reflect the Board approval of recommendations, findings, key messages, and advice"/>
                    <xsd:enumeration value="6. Our outputs consider the Crown-Māori relationship, te ao Māori, and specific effects on iwi and Māori"/>
                    <xsd:enumeration value="7. Our outputs are well evidenced"/>
                    <xsd:enumeration value="8. We follow the relevant approved methodology"/>
                    <xsd:enumeration value="9. Our outputs are compelling, clearly written and accessible"/>
                    <xsd:enumeration value="10. We respect and utilise the expertise of staff and Commissioners"/>
                    <xsd:enumeration value="11. Our reasoning is robust, and our process and reasoning are clearly explained"/>
                    <xsd:enumeration value="12. Our approach is externally tested or reviewed where appropriate (i.e., calculations)."/>
                    <xsd:enumeration value="13. We engage and consult adequately"/>
                    <xsd:enumeration value="14. When we engage, we treat stakeholders and iwi/Māori with respect and understand and consider stakeholders' and iwi/Māori views and input. The value of our engagement with iwi/Māori and/or stakeholders is demonstrated in our advice/outputs."/>
                    <xsd:enumeration value="15. Our data is openly available"/>
                    <xsd:enumeration value="16. We manage strategic risks"/>
                    <xsd:enumeration value="17. We manage conflicts of interest"/>
                    <xsd:enumeration value="18. We follow approved QA/QC processe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Text1 xmlns="a9df0e0e-9b5b-47bc-81c1-d190dfb54f87" xsi:nil="true"/>
    <Activity xmlns="70761194-623b-4751-a0da-29ad6551f95e">Advice</Activity>
    <Function xmlns="70761194-623b-4751-a0da-29ad6551f95e">Programmes and Projects</Function>
    <Year xmlns="70761194-623b-4751-a0da-29ad6551f95e" xsi:nil="true"/>
    <AggregationStatus xmlns="a9df0e0e-9b5b-47bc-81c1-d190dfb54f87">Normal</AggregationStatus>
    <CategoryName xmlns="70761194-623b-4751-a0da-29ad6551f95e">04. Report</CategoryName>
    <CategoryValue xmlns="70761194-623b-4751-a0da-29ad6551f95e">ENZ</CategoryValue>
    <Narrative xmlns="a9df0e0e-9b5b-47bc-81c1-d190dfb54f87" xsi:nil="true"/>
    <PraText5 xmlns="a9df0e0e-9b5b-47bc-81c1-d190dfb54f87" xsi:nil="true"/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2025 Advice</Subactivity>
    <PraDateDisposal xmlns="a9df0e0e-9b5b-47bc-81c1-d190dfb54f87" xsi:nil="true"/>
    <PraDate2 xmlns="a9df0e0e-9b5b-47bc-81c1-d190dfb54f87" xsi:nil="true"/>
    <PraText3 xmlns="a9df0e0e-9b5b-47bc-81c1-d190dfb54f87" xsi:nil="true"/>
    <DocumentType xmlns="02bffcbe-7cf8-467d-a91b-a3e0dbcae01e" xsi:nil="true"/>
    <AggregationNarrative xmlns="70761194-623b-4751-a0da-29ad6551f95e" xsi:nil="true"/>
    <Case xmlns="70761194-623b-4751-a0da-29ad6551f95e">ETS Unit and Price Settings</Case>
    <PraDate1 xmlns="a9df0e0e-9b5b-47bc-81c1-d190dfb54f87" xsi:nil="true"/>
    <PraText2 xmlns="a9df0e0e-9b5b-47bc-81c1-d190dfb54f87" xsi:nil="true"/>
    <_dlc_DocId xmlns="e963e69f-3f58-4e6f-b74a-87e86ca2e125">ZRPJAS3TEE2M-297491816-2359</_dlc_DocId>
    <_dlc_DocIdUrl xmlns="e963e69f-3f58-4e6f-b74a-87e86ca2e125">
      <Url>https://climatechangegovt.sharepoint.com/sites/ETSUnitPrice22/_layouts/15/DocIdRedir.aspx?ID=ZRPJAS3TEE2M-297491816-2359</Url>
      <Description>ZRPJAS3TEE2M-297491816-2359</Description>
    </_dlc_DocIdUrl>
    <_dlc_DocIdPersistId xmlns="e963e69f-3f58-4e6f-b74a-87e86ca2e125">false</_dlc_DocIdPersistId>
    <OTDocID xmlns="b30672e7-690a-4c93-a50a-a028bc8f475d" xsi:nil="true"/>
    <OTCreatedBy xmlns="b30672e7-690a-4c93-a50a-a028bc8f475d" xsi:nil="true"/>
    <OTModifiedBy xmlns="b30672e7-690a-4c93-a50a-a028bc8f475d" xsi:nil="true"/>
    <LegacyMetadata xmlns="b30672e7-690a-4c93-a50a-a028bc8f475d" xsi:nil="true"/>
    <Channel xmlns="b30672e7-690a-4c93-a50a-a028bc8f475d" xsi:nil="true"/>
    <lcf76f155ced4ddcb4097134ff3c332f xmlns="987bcd1d-e1f1-4f53-92ab-ce8c6eb15727">
      <Terms xmlns="http://schemas.microsoft.com/office/infopath/2007/PartnerControls"/>
    </lcf76f155ced4ddcb4097134ff3c332f>
    <TaxCatchAll xmlns="e963e69f-3f58-4e6f-b74a-87e86ca2e125" xsi:nil="true"/>
    <Expectation xmlns="987bcd1d-e1f1-4f53-92ab-ce8c6eb15727" xsi:nil="true"/>
  </documentManagement>
</p:properties>
</file>

<file path=customXml/itemProps1.xml><?xml version="1.0" encoding="utf-8"?>
<ds:datastoreItem xmlns:ds="http://schemas.openxmlformats.org/officeDocument/2006/customXml" ds:itemID="{9245049D-0B28-488A-BF0D-A9F0CD2989F4}"/>
</file>

<file path=customXml/itemProps2.xml><?xml version="1.0" encoding="utf-8"?>
<ds:datastoreItem xmlns:ds="http://schemas.openxmlformats.org/officeDocument/2006/customXml" ds:itemID="{53C7B588-1D12-4951-B3D1-258D09F0D298}"/>
</file>

<file path=customXml/itemProps3.xml><?xml version="1.0" encoding="utf-8"?>
<ds:datastoreItem xmlns:ds="http://schemas.openxmlformats.org/officeDocument/2006/customXml" ds:itemID="{A4FCAC51-AC24-4954-8134-DA0B19E55512}"/>
</file>

<file path=customXml/itemProps4.xml><?xml version="1.0" encoding="utf-8"?>
<ds:datastoreItem xmlns:ds="http://schemas.openxmlformats.org/officeDocument/2006/customXml" ds:itemID="{A716A282-DB4D-4A7D-85E8-405278E14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Chalk</dc:creator>
  <cp:keywords/>
  <dc:description/>
  <cp:lastModifiedBy/>
  <cp:revision/>
  <dcterms:created xsi:type="dcterms:W3CDTF">2010-10-07T21:12:31Z</dcterms:created>
  <dcterms:modified xsi:type="dcterms:W3CDTF">2025-04-18T03:31:17Z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3c8de1ba-88ab-4187-9fa2-60a6b9158e03</vt:lpwstr>
  </property>
  <property fmtid="{D5CDD505-2E9C-101B-9397-08002B2CF9AE}" pid="3" name="ContentTypeId">
    <vt:lpwstr>0x010100EDD070CD8C3B1241AF2B72868218A723</vt:lpwstr>
  </property>
  <property fmtid="{D5CDD505-2E9C-101B-9397-08002B2CF9AE}" pid="4" name="_dlc_DocIdItemGuid">
    <vt:lpwstr>c86d05fa-5fe4-4f6c-9e94-785aa49cd752</vt:lpwstr>
  </property>
  <property fmtid="{D5CDD505-2E9C-101B-9397-08002B2CF9AE}" pid="5" name="Order">
    <vt:r8>1853200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